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95" yWindow="-90" windowWidth="15300" windowHeight="12750" tabRatio="835"/>
  </bookViews>
  <sheets>
    <sheet name="Non-GAAP Financial Measures" sheetId="51" r:id="rId1"/>
    <sheet name="QTD P&amp;L" sheetId="57" r:id="rId2"/>
    <sheet name="TTM P&amp;L" sheetId="78" r:id="rId3"/>
    <sheet name="EBITDA and Adjusted EBITDA" sheetId="85" r:id="rId4"/>
    <sheet name="NR and OI by Segment" sheetId="61" r:id="rId5"/>
    <sheet name="Rev Mix by Geographic Region" sheetId="62" r:id="rId6"/>
    <sheet name="Rev Mix by Platform" sheetId="88" r:id="rId7"/>
    <sheet name="Rev Mix by Distribution" sheetId="76" r:id="rId8"/>
    <sheet name="Balance Sheet" sheetId="59" r:id="rId9"/>
    <sheet name="Cashflow Supplemental Qtrly" sheetId="86" r:id="rId10"/>
    <sheet name="Cashflow Supplemental" sheetId="81" r:id="rId11"/>
    <sheet name="Cashflow YE" sheetId="75" r:id="rId12"/>
    <sheet name="GAAP to Non-GAAP Measures 2015" sheetId="93" r:id="rId13"/>
    <sheet name="GAAP to Non-GAAP Measures 2014" sheetId="87" r:id="rId14"/>
    <sheet name="GAAP to Non-GAAP Measures 2013" sheetId="84" r:id="rId15"/>
    <sheet name="GAAP to Non-GAAP Measures 2012" sheetId="82" r:id="rId16"/>
    <sheet name="GAAP to Non-GAAP Measures 2011" sheetId="64" r:id="rId17"/>
    <sheet name="GAAP to Non-GAAP Measures 2010" sheetId="65" r:id="rId18"/>
    <sheet name="GAAP to Non-GAAP Measures 2009" sheetId="72" r:id="rId19"/>
    <sheet name="GAAP to Non-GAAP Measures 2008" sheetId="83" r:id="rId20"/>
  </sheets>
  <definedNames>
    <definedName name="d" localSheetId="9">#REF!</definedName>
    <definedName name="d" localSheetId="3">#REF!</definedName>
    <definedName name="d" localSheetId="13">#REF!</definedName>
    <definedName name="d" localSheetId="12">#REF!</definedName>
    <definedName name="d" localSheetId="6">#REF!</definedName>
    <definedName name="d">#REF!</definedName>
    <definedName name="EssLatest" localSheetId="19">"BegBalance"</definedName>
    <definedName name="EssLatest" localSheetId="18">"BegBalance"</definedName>
    <definedName name="EssOptions" localSheetId="19">"A2100001100110000011001100020_01000"</definedName>
    <definedName name="EssOptions" localSheetId="18">"A2100001100110000011001100020_01000"</definedName>
    <definedName name="EssSamplingValue" localSheetId="19">100</definedName>
    <definedName name="EssSamplingValue" localSheetId="18">100</definedName>
    <definedName name="GAAP_nonGAAPreconCY" localSheetId="17">'GAAP to Non-GAAP Measures 2010'!#REF!</definedName>
    <definedName name="GAAP_nonGAAPreconCY" localSheetId="15">'GAAP to Non-GAAP Measures 2012'!#REF!</definedName>
    <definedName name="GAAP_nonGAAPreconCY" localSheetId="14">'GAAP to Non-GAAP Measures 2013'!#REF!</definedName>
    <definedName name="GAAP_nonGAAPreconCY" localSheetId="13">'GAAP to Non-GAAP Measures 2014'!#REF!</definedName>
    <definedName name="GAAP_nonGAAPreconCY" localSheetId="12">'GAAP to Non-GAAP Measures 2015'!#REF!</definedName>
    <definedName name="GAAP_nonGAAPreconCY">'GAAP to Non-GAAP Measures 2011'!$B$6:$N$22</definedName>
    <definedName name="GAAP_nonGAAPreconCYQTR" localSheetId="17">'GAAP to Non-GAAP Measures 2010'!#REF!</definedName>
    <definedName name="GAAP_nonGAAPreconCYQTR" localSheetId="15">'GAAP to Non-GAAP Measures 2012'!#REF!</definedName>
    <definedName name="GAAP_nonGAAPreconCYQTR" localSheetId="14">'GAAP to Non-GAAP Measures 2013'!#REF!</definedName>
    <definedName name="GAAP_nonGAAPreconCYQTR" localSheetId="13">'GAAP to Non-GAAP Measures 2014'!#REF!</definedName>
    <definedName name="GAAP_nonGAAPreconCYQTR" localSheetId="12">'GAAP to Non-GAAP Measures 2015'!#REF!</definedName>
    <definedName name="GAAP_nonGAAPreconCYQTR">'GAAP to Non-GAAP Measures 2011'!$B$6:$N$22</definedName>
    <definedName name="GAAP_NONGAAPreconPY" localSheetId="10">#REF!</definedName>
    <definedName name="GAAP_NONGAAPreconPY" localSheetId="9">#REF!</definedName>
    <definedName name="GAAP_NONGAAPreconPY" localSheetId="3">#REF!</definedName>
    <definedName name="GAAP_NONGAAPreconPY" localSheetId="17">#REF!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6">#REF!</definedName>
    <definedName name="GAAP_NONGAAPreconPY">#REF!</definedName>
    <definedName name="GAAP_NONGAAPreconPYQTR" localSheetId="10">#REF!</definedName>
    <definedName name="GAAP_NONGAAPreconPYQTR" localSheetId="9">#REF!</definedName>
    <definedName name="GAAP_NONGAAPreconPYQTR" localSheetId="3">#REF!</definedName>
    <definedName name="GAAP_NONGAAPreconPYQTR" localSheetId="17">#REF!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6">#REF!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3">#REF!</definedName>
    <definedName name="PR_PlatformYTD" localSheetId="17">#REF!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6">#REF!</definedName>
    <definedName name="PR_PlatformYTD">#REF!</definedName>
    <definedName name="_xlnm.Print_Area" localSheetId="8">'Balance Sheet'!$A$1:$AF$53</definedName>
    <definedName name="_xlnm.Print_Area" localSheetId="10">'Cashflow Supplemental'!$A$1:$N$16</definedName>
    <definedName name="_xlnm.Print_Area" localSheetId="9">'Cashflow Supplemental Qtrly'!$A$1:$AG$21</definedName>
    <definedName name="_xlnm.Print_Area" localSheetId="3">'EBITDA and Adjusted EBITDA'!$A$1:$AJ$27</definedName>
    <definedName name="_xlnm.Print_Area" localSheetId="19">'GAAP to Non-GAAP Measures 2008'!$B$1:$N$53</definedName>
    <definedName name="_xlnm.Print_Area" localSheetId="18">'GAAP to Non-GAAP Measures 2009'!$B$1:$O$92</definedName>
    <definedName name="_xlnm.Print_Area" localSheetId="17">'GAAP to Non-GAAP Measures 2010'!$B$1:$N$86</definedName>
    <definedName name="_xlnm.Print_Area" localSheetId="16">'GAAP to Non-GAAP Measures 2011'!$B$1:$N$86</definedName>
    <definedName name="_xlnm.Print_Area" localSheetId="15">'GAAP to Non-GAAP Measures 2012'!$B$1:$N$74</definedName>
    <definedName name="_xlnm.Print_Area" localSheetId="14">'GAAP to Non-GAAP Measures 2013'!$B$1:$N$80</definedName>
    <definedName name="_xlnm.Print_Area" localSheetId="13">'GAAP to Non-GAAP Measures 2014'!$B$1:$N$81</definedName>
    <definedName name="_xlnm.Print_Area" localSheetId="12">'GAAP to Non-GAAP Measures 2015'!$B$1:$N$58</definedName>
    <definedName name="_xlnm.Print_Area" localSheetId="0">'Non-GAAP Financial Measures'!$A$1:$R$30</definedName>
    <definedName name="_xlnm.Print_Area" localSheetId="4">'NR and OI by Segment'!$B$1:$AH$47</definedName>
    <definedName name="_xlnm.Print_Area" localSheetId="1">'QTD P&amp;L'!$A$1:$AH$110</definedName>
    <definedName name="_xlnm.Print_Area" localSheetId="7">'Rev Mix by Distribution'!$A$1:$AE$35</definedName>
    <definedName name="_xlnm.Print_Area" localSheetId="5">'Rev Mix by Geographic Region'!$B$1:$AH$38</definedName>
    <definedName name="_xlnm.Print_Area" localSheetId="6">'Rev Mix by Platform'!$A$1:$AH$72</definedName>
    <definedName name="_xlnm.Print_Area" localSheetId="2">'TTM P&amp;L'!$A$1:$AE$115</definedName>
    <definedName name="_xlnm.Print_Titles" localSheetId="3">'EBITDA and Adjusted EBITDA'!$1:$4</definedName>
    <definedName name="_xlnm.Print_Titles" localSheetId="17">'GAAP to Non-GAAP Measures 2010'!$1:$5</definedName>
    <definedName name="_xlnm.Print_Titles" localSheetId="16">'GAAP to Non-GAAP Measures 2011'!$1:$5</definedName>
    <definedName name="_xlnm.Print_Titles" localSheetId="1">'QTD P&amp;L'!$1:$4</definedName>
    <definedName name="_xlnm.Print_Titles" localSheetId="2">'TTM P&amp;L'!$1:$4</definedName>
  </definedNames>
  <calcPr calcId="145621"/>
</workbook>
</file>

<file path=xl/calcChain.xml><?xml version="1.0" encoding="utf-8"?>
<calcChain xmlns="http://schemas.openxmlformats.org/spreadsheetml/2006/main">
  <c r="M39" i="93" l="1"/>
  <c r="M43" i="93" s="1"/>
  <c r="L43" i="93"/>
  <c r="K43" i="93"/>
  <c r="J43" i="93"/>
  <c r="I43" i="93"/>
  <c r="H43" i="93"/>
  <c r="G43" i="93"/>
  <c r="F43" i="93"/>
  <c r="E43" i="93"/>
  <c r="F51" i="93"/>
  <c r="AF16" i="86"/>
  <c r="AF15" i="86"/>
  <c r="AF14" i="86"/>
  <c r="AF12" i="86"/>
  <c r="AE53" i="59"/>
  <c r="C53" i="59"/>
  <c r="AE51" i="59"/>
  <c r="C44" i="59"/>
  <c r="AE39" i="59"/>
  <c r="AE30" i="59"/>
  <c r="C19" i="59"/>
  <c r="AD27" i="76"/>
  <c r="C27" i="76"/>
  <c r="AD24" i="76"/>
  <c r="C19" i="76"/>
  <c r="AD14" i="76"/>
  <c r="C11" i="76"/>
  <c r="F57" i="88"/>
  <c r="AG54" i="88"/>
  <c r="F51" i="88"/>
  <c r="AG39" i="88"/>
  <c r="F36" i="88"/>
  <c r="AG26" i="88"/>
  <c r="E23" i="88"/>
  <c r="AG19" i="88"/>
  <c r="AG16" i="88"/>
  <c r="AG29" i="62"/>
  <c r="AG21" i="62"/>
  <c r="Q15" i="62"/>
  <c r="E15" i="62"/>
  <c r="AG12" i="62"/>
  <c r="AG36" i="61"/>
  <c r="E34" i="61"/>
  <c r="AG34" i="61"/>
  <c r="E23" i="61"/>
  <c r="AG17" i="61"/>
  <c r="E12" i="61"/>
  <c r="AG23" i="85"/>
  <c r="AI23" i="85"/>
  <c r="E13" i="85"/>
  <c r="AD93" i="78" l="1"/>
  <c r="AD82" i="78"/>
  <c r="AD80" i="78"/>
  <c r="E78" i="78"/>
  <c r="AD77" i="78"/>
  <c r="AD78" i="78"/>
  <c r="AD45" i="78"/>
  <c r="AD37" i="78"/>
  <c r="AD26" i="78"/>
  <c r="AD24" i="78"/>
  <c r="AD23" i="78"/>
  <c r="AD22" i="78"/>
  <c r="AD21" i="78"/>
  <c r="AD10" i="78"/>
  <c r="AG96" i="57" l="1"/>
  <c r="AG89" i="57"/>
  <c r="E78" i="57"/>
  <c r="AG76" i="57"/>
  <c r="E74" i="57"/>
  <c r="AG73" i="57"/>
  <c r="AG54" i="57"/>
  <c r="E43" i="57"/>
  <c r="AG36" i="57"/>
  <c r="AG25" i="57"/>
  <c r="E23" i="57"/>
  <c r="AG21" i="57"/>
  <c r="AG20" i="57"/>
  <c r="E20" i="57"/>
  <c r="C30" i="59" l="1"/>
  <c r="AE19" i="59"/>
  <c r="C14" i="76"/>
  <c r="AD11" i="76"/>
  <c r="AG51" i="88"/>
  <c r="AG36" i="88"/>
  <c r="E16" i="88"/>
  <c r="F29" i="62"/>
  <c r="G29" i="62"/>
  <c r="AG23" i="62"/>
  <c r="F21" i="62"/>
  <c r="AG15" i="62"/>
  <c r="E36" i="61"/>
  <c r="AG23" i="61"/>
  <c r="AG12" i="61"/>
  <c r="E23" i="85"/>
  <c r="AI13" i="85"/>
  <c r="AD101" i="78"/>
  <c r="E82" i="78"/>
  <c r="E24" i="78"/>
  <c r="AG74" i="57"/>
  <c r="AG23" i="57"/>
  <c r="AG43" i="57"/>
  <c r="B46" i="93" l="1"/>
  <c r="M42" i="93"/>
  <c r="E50" i="93" s="1"/>
  <c r="M41" i="93"/>
  <c r="E49" i="93" s="1"/>
  <c r="M40" i="93"/>
  <c r="E48" i="93" s="1"/>
  <c r="E47" i="93"/>
  <c r="E51" i="93" s="1"/>
  <c r="AE44" i="59"/>
  <c r="AD18" i="76"/>
  <c r="AD17" i="76"/>
  <c r="AG41" i="88"/>
  <c r="AG38" i="88"/>
  <c r="AG31" i="88"/>
  <c r="AG30" i="88"/>
  <c r="AG20" i="62"/>
  <c r="AG19" i="62"/>
  <c r="AG18" i="62"/>
  <c r="AG13" i="85"/>
  <c r="AD92" i="78"/>
  <c r="AD91" i="78"/>
  <c r="AD90" i="78"/>
  <c r="AD87" i="78"/>
  <c r="AD86" i="78"/>
  <c r="AD83" i="78"/>
  <c r="AD81" i="78"/>
  <c r="AD79" i="78"/>
  <c r="AD76" i="78"/>
  <c r="AD75" i="78"/>
  <c r="AD74" i="78"/>
  <c r="AD73" i="78"/>
  <c r="AD72" i="78"/>
  <c r="AD71" i="78"/>
  <c r="AD70" i="78"/>
  <c r="AD68" i="78"/>
  <c r="AD66" i="78"/>
  <c r="AD98" i="78" s="1"/>
  <c r="AD65" i="78"/>
  <c r="AD97" i="78" s="1"/>
  <c r="AD64" i="78"/>
  <c r="AD96" i="78" s="1"/>
  <c r="AD41" i="78"/>
  <c r="AD40" i="78"/>
  <c r="AD36" i="78"/>
  <c r="AD35" i="78"/>
  <c r="AD34" i="78"/>
  <c r="AD31" i="78"/>
  <c r="AD30" i="78"/>
  <c r="AD27" i="78"/>
  <c r="AD25" i="78"/>
  <c r="AD20" i="78"/>
  <c r="AD19" i="78"/>
  <c r="AD18" i="78"/>
  <c r="AD17" i="78"/>
  <c r="AD16" i="78"/>
  <c r="AD15" i="78"/>
  <c r="AD14" i="78"/>
  <c r="AD13" i="78"/>
  <c r="AD12" i="78"/>
  <c r="AG107" i="57"/>
  <c r="AG105" i="57"/>
  <c r="AG102" i="57"/>
  <c r="AG101" i="57"/>
  <c r="AG100" i="57"/>
  <c r="AG99" i="57"/>
  <c r="AG98" i="57"/>
  <c r="AG97" i="57"/>
  <c r="AG103" i="57"/>
  <c r="AG62" i="57"/>
  <c r="AG93" i="57" s="1"/>
  <c r="AG61" i="57"/>
  <c r="AG92" i="57" s="1"/>
  <c r="AG56" i="57"/>
  <c r="AG51" i="57"/>
  <c r="AG50" i="57"/>
  <c r="AG49" i="57"/>
  <c r="AG48" i="57"/>
  <c r="AG47" i="57"/>
  <c r="AG46" i="57"/>
  <c r="AG45" i="57"/>
  <c r="AG44" i="57"/>
  <c r="AG40" i="57"/>
  <c r="AG39" i="57"/>
  <c r="AG52" i="57"/>
  <c r="AD103" i="78" l="1"/>
  <c r="AD112" i="78"/>
  <c r="AD104" i="78"/>
  <c r="AD110" i="78"/>
  <c r="AD105" i="78"/>
  <c r="AD19" i="76"/>
  <c r="AD107" i="78"/>
  <c r="AD106" i="78"/>
  <c r="AD102" i="78"/>
  <c r="AD54" i="78"/>
  <c r="AD48" i="78"/>
  <c r="AD53" i="78"/>
  <c r="AD46" i="78"/>
  <c r="AD50" i="78"/>
  <c r="AD56" i="78"/>
  <c r="AD52" i="78"/>
  <c r="AD49" i="78"/>
  <c r="AD47" i="78"/>
  <c r="AD51" i="78"/>
  <c r="AD58" i="78"/>
  <c r="AG57" i="88"/>
  <c r="AE15" i="86"/>
  <c r="AE14" i="86"/>
  <c r="AE16" i="86" s="1"/>
  <c r="AF41" i="88"/>
  <c r="AF38" i="88"/>
  <c r="AF36" i="88"/>
  <c r="AF16" i="88"/>
  <c r="AG23" i="88" l="1"/>
  <c r="AD108" i="78"/>
  <c r="AG78" i="57"/>
  <c r="AG104" i="57"/>
  <c r="AG53" i="57"/>
  <c r="AC31" i="78"/>
  <c r="AC30" i="78"/>
  <c r="AC27" i="78"/>
  <c r="AC25" i="78"/>
  <c r="AC23" i="78"/>
  <c r="AF108" i="57"/>
  <c r="AF107" i="57"/>
  <c r="AF106" i="57"/>
  <c r="AF105" i="57"/>
  <c r="AF104" i="57"/>
  <c r="AF103" i="57"/>
  <c r="AF102" i="57"/>
  <c r="AF101" i="57"/>
  <c r="AF100" i="57"/>
  <c r="AF99" i="57"/>
  <c r="AF98" i="57"/>
  <c r="AF97" i="57"/>
  <c r="AF96" i="57"/>
  <c r="AF57" i="57"/>
  <c r="AF56" i="57"/>
  <c r="AF55" i="57"/>
  <c r="AF54" i="57"/>
  <c r="AF53" i="57"/>
  <c r="AF52" i="57"/>
  <c r="AF51" i="57"/>
  <c r="AF50" i="57"/>
  <c r="AF49" i="57"/>
  <c r="AF48" i="57"/>
  <c r="AF47" i="57"/>
  <c r="AF46" i="57"/>
  <c r="AF45" i="57"/>
  <c r="AF44" i="57"/>
  <c r="AF43" i="57"/>
  <c r="AD55" i="78" l="1"/>
  <c r="AD109" i="78"/>
  <c r="AG106" i="57"/>
  <c r="AG108" i="57"/>
  <c r="AG55" i="57"/>
  <c r="AG57" i="57"/>
  <c r="AF36" i="61"/>
  <c r="AC70" i="78"/>
  <c r="AC10" i="78"/>
  <c r="F35" i="93"/>
  <c r="M23" i="93"/>
  <c r="E31" i="93"/>
  <c r="E35" i="93" s="1"/>
  <c r="M24" i="93"/>
  <c r="E32" i="93"/>
  <c r="M25" i="93"/>
  <c r="E33" i="93"/>
  <c r="M26" i="93"/>
  <c r="E34" i="93"/>
  <c r="B30" i="93"/>
  <c r="M27" i="93"/>
  <c r="L27" i="93"/>
  <c r="K27" i="93"/>
  <c r="J27" i="93"/>
  <c r="I27" i="93"/>
  <c r="H27" i="93"/>
  <c r="G27" i="93"/>
  <c r="F27" i="93"/>
  <c r="E27" i="93"/>
  <c r="AE12" i="86"/>
  <c r="AD39" i="59"/>
  <c r="AD44" i="59"/>
  <c r="AD51" i="59"/>
  <c r="AD53" i="59"/>
  <c r="AD19" i="59"/>
  <c r="AD30" i="59" s="1"/>
  <c r="AC24" i="76"/>
  <c r="AC27" i="76"/>
  <c r="AC17" i="76"/>
  <c r="AC18" i="76"/>
  <c r="AC19" i="76"/>
  <c r="AC11" i="76"/>
  <c r="AC14" i="76"/>
  <c r="AF30" i="88"/>
  <c r="AF31" i="88"/>
  <c r="AF51" i="88"/>
  <c r="AF54" i="88" s="1"/>
  <c r="AF57" i="88" s="1"/>
  <c r="AF19" i="88"/>
  <c r="AF23" i="88" s="1"/>
  <c r="AF26" i="88" s="1"/>
  <c r="AF18" i="62"/>
  <c r="AF19" i="62"/>
  <c r="AF20" i="62"/>
  <c r="AF29" i="62"/>
  <c r="AF23" i="62"/>
  <c r="AF21" i="62"/>
  <c r="AF15" i="62"/>
  <c r="AF12" i="62"/>
  <c r="AF23" i="61"/>
  <c r="AF12" i="61"/>
  <c r="AF34" i="61"/>
  <c r="AF17" i="61"/>
  <c r="AF13" i="85"/>
  <c r="AF23" i="85"/>
  <c r="AC68" i="78"/>
  <c r="AC101" i="78" s="1"/>
  <c r="AC71" i="78"/>
  <c r="AC72" i="78"/>
  <c r="AC73" i="78"/>
  <c r="AC104" i="78" s="1"/>
  <c r="AC74" i="78"/>
  <c r="AC75" i="78"/>
  <c r="AC76" i="78"/>
  <c r="AC77" i="78"/>
  <c r="AC78" i="78" s="1"/>
  <c r="AC79" i="78"/>
  <c r="AC110" i="78" s="1"/>
  <c r="AC81" i="78"/>
  <c r="AC112" i="78" s="1"/>
  <c r="AC107" i="78"/>
  <c r="AC106" i="78"/>
  <c r="AC105" i="78"/>
  <c r="AC103" i="78"/>
  <c r="AC102" i="78"/>
  <c r="AC66" i="78"/>
  <c r="AC98" i="78"/>
  <c r="AC65" i="78"/>
  <c r="AC97" i="78"/>
  <c r="AC64" i="78"/>
  <c r="AC96" i="78"/>
  <c r="AC91" i="78"/>
  <c r="AC93" i="78" s="1"/>
  <c r="AC92" i="78"/>
  <c r="AC90" i="78"/>
  <c r="AC87" i="78"/>
  <c r="AC86" i="78"/>
  <c r="AC83" i="78"/>
  <c r="AC12" i="78"/>
  <c r="AC13" i="78"/>
  <c r="AC14" i="78"/>
  <c r="AC47" i="78" s="1"/>
  <c r="AC15" i="78"/>
  <c r="AC16" i="78"/>
  <c r="AC17" i="78"/>
  <c r="AC18" i="78"/>
  <c r="AC51" i="78" s="1"/>
  <c r="AC19" i="78"/>
  <c r="AC20" i="78"/>
  <c r="AC41" i="78"/>
  <c r="AC40" i="78"/>
  <c r="AC35" i="78"/>
  <c r="AC36" i="78"/>
  <c r="AC37" i="78" s="1"/>
  <c r="AC34" i="78"/>
  <c r="AF73" i="57"/>
  <c r="AF74" i="57"/>
  <c r="AF76" i="57"/>
  <c r="AF78" i="57"/>
  <c r="AF62" i="57"/>
  <c r="AF93" i="57"/>
  <c r="AF61" i="57"/>
  <c r="AF92" i="57"/>
  <c r="AF89" i="57"/>
  <c r="AF20" i="57"/>
  <c r="AF21" i="57"/>
  <c r="AF23" i="57"/>
  <c r="AF25" i="57"/>
  <c r="AF40" i="57"/>
  <c r="AF39" i="57"/>
  <c r="AF36" i="57"/>
  <c r="AD16" i="86"/>
  <c r="AD15" i="86"/>
  <c r="AD14" i="86"/>
  <c r="AE38" i="88"/>
  <c r="AE36" i="88"/>
  <c r="AE30" i="88"/>
  <c r="AE96" i="57"/>
  <c r="AE43" i="57"/>
  <c r="AA80" i="78"/>
  <c r="W80" i="78"/>
  <c r="S71" i="78"/>
  <c r="S74" i="78"/>
  <c r="S77" i="78" s="1"/>
  <c r="S78" i="78"/>
  <c r="O71" i="78"/>
  <c r="O74" i="78"/>
  <c r="O77" i="78"/>
  <c r="O78" i="78" s="1"/>
  <c r="O80" i="78"/>
  <c r="M7" i="93"/>
  <c r="E15" i="93" s="1"/>
  <c r="M8" i="93"/>
  <c r="E16" i="93" s="1"/>
  <c r="M9" i="93"/>
  <c r="E17" i="93" s="1"/>
  <c r="M10" i="93"/>
  <c r="E18" i="93" s="1"/>
  <c r="E11" i="93"/>
  <c r="F11" i="93"/>
  <c r="G11" i="93"/>
  <c r="H11" i="93"/>
  <c r="I11" i="93"/>
  <c r="J11" i="93"/>
  <c r="K11" i="93"/>
  <c r="L11" i="93"/>
  <c r="B14" i="93"/>
  <c r="F19" i="93"/>
  <c r="AD12" i="86"/>
  <c r="AC51" i="59"/>
  <c r="AC39" i="59"/>
  <c r="AC44" i="59"/>
  <c r="AC19" i="59"/>
  <c r="AC30" i="59"/>
  <c r="AB24" i="76"/>
  <c r="AB27" i="76"/>
  <c r="AB18" i="76"/>
  <c r="AB17" i="76"/>
  <c r="AB14" i="76"/>
  <c r="AB11" i="76"/>
  <c r="AE51" i="88"/>
  <c r="AE54" i="88" s="1"/>
  <c r="AE57" i="88" s="1"/>
  <c r="AE41" i="88"/>
  <c r="AE31" i="88"/>
  <c r="AE29" i="62"/>
  <c r="AE23" i="62"/>
  <c r="AE20" i="62"/>
  <c r="AE19" i="62"/>
  <c r="AE18" i="62"/>
  <c r="AE15" i="62"/>
  <c r="AE12" i="62"/>
  <c r="AE23" i="61"/>
  <c r="AE12" i="61"/>
  <c r="AE17" i="61"/>
  <c r="AE13" i="85"/>
  <c r="AE16" i="88"/>
  <c r="AE19" i="88" s="1"/>
  <c r="AE23" i="88" s="1"/>
  <c r="AE26" i="88" s="1"/>
  <c r="AC53" i="59"/>
  <c r="AB19" i="76"/>
  <c r="AE21" i="62"/>
  <c r="AE36" i="61"/>
  <c r="AE34" i="61"/>
  <c r="AB92" i="78"/>
  <c r="AB93" i="78" s="1"/>
  <c r="AB91" i="78"/>
  <c r="AB90" i="78"/>
  <c r="AB87" i="78"/>
  <c r="AB86" i="78"/>
  <c r="AB83" i="78"/>
  <c r="AB81" i="78"/>
  <c r="AB79" i="78"/>
  <c r="AB76" i="78"/>
  <c r="AB107" i="78" s="1"/>
  <c r="AB75" i="78"/>
  <c r="AB74" i="78"/>
  <c r="AB73" i="78"/>
  <c r="AB72" i="78"/>
  <c r="AB71" i="78"/>
  <c r="AB102" i="78" s="1"/>
  <c r="AB70" i="78"/>
  <c r="AB68" i="78"/>
  <c r="AB66" i="78"/>
  <c r="AB98" i="78"/>
  <c r="AB65" i="78"/>
  <c r="AB97" i="78"/>
  <c r="AB64" i="78"/>
  <c r="AB96" i="78"/>
  <c r="AB41" i="78"/>
  <c r="AB40" i="78"/>
  <c r="AB36" i="78"/>
  <c r="AB35" i="78"/>
  <c r="AB34" i="78"/>
  <c r="AB31" i="78"/>
  <c r="AB30" i="78"/>
  <c r="AB27" i="78"/>
  <c r="AB25" i="78"/>
  <c r="AB23" i="78"/>
  <c r="AB20" i="78"/>
  <c r="AB19" i="78"/>
  <c r="AB18" i="78"/>
  <c r="AB51" i="78" s="1"/>
  <c r="AB17" i="78"/>
  <c r="AB16" i="78"/>
  <c r="AB15" i="78"/>
  <c r="AB14" i="78"/>
  <c r="AB13" i="78"/>
  <c r="AB12" i="78"/>
  <c r="AB10" i="78"/>
  <c r="AE107" i="57"/>
  <c r="AE105" i="57"/>
  <c r="AE102" i="57"/>
  <c r="AE101" i="57"/>
  <c r="AE100" i="57"/>
  <c r="AE99" i="57"/>
  <c r="AE98" i="57"/>
  <c r="AE97" i="57"/>
  <c r="AE89" i="57"/>
  <c r="AE73" i="57"/>
  <c r="AE74" i="57"/>
  <c r="AE76" i="57"/>
  <c r="AE62" i="57"/>
  <c r="AE93" i="57"/>
  <c r="AE61" i="57"/>
  <c r="AE92" i="57"/>
  <c r="AE56" i="57"/>
  <c r="AE54" i="57"/>
  <c r="AE51" i="57"/>
  <c r="AE50" i="57"/>
  <c r="AE49" i="57"/>
  <c r="AE48" i="57"/>
  <c r="AE47" i="57"/>
  <c r="AE46" i="57"/>
  <c r="AE45" i="57"/>
  <c r="AE44" i="57"/>
  <c r="AE40" i="57"/>
  <c r="AE39" i="57"/>
  <c r="AE36" i="57"/>
  <c r="AE20" i="57"/>
  <c r="AE52" i="57"/>
  <c r="AE103" i="57"/>
  <c r="AB106" i="78"/>
  <c r="AB48" i="78"/>
  <c r="AB52" i="78"/>
  <c r="AB77" i="78"/>
  <c r="AB108" i="78" s="1"/>
  <c r="AE21" i="57"/>
  <c r="AE106" i="57"/>
  <c r="AE78" i="57"/>
  <c r="AE108" i="57"/>
  <c r="AE104" i="57"/>
  <c r="AE53" i="57"/>
  <c r="AE23" i="57"/>
  <c r="AE55" i="57"/>
  <c r="AC15" i="86"/>
  <c r="AC14" i="86"/>
  <c r="AE25" i="57"/>
  <c r="AE57" i="57"/>
  <c r="F71" i="87"/>
  <c r="B65" i="87"/>
  <c r="L62" i="87"/>
  <c r="K62" i="87"/>
  <c r="J62" i="87"/>
  <c r="I62" i="87"/>
  <c r="H62" i="87"/>
  <c r="G62" i="87"/>
  <c r="F62" i="87"/>
  <c r="E62" i="87"/>
  <c r="M61" i="87"/>
  <c r="E70" i="87"/>
  <c r="M60" i="87"/>
  <c r="E69" i="87"/>
  <c r="M59" i="87"/>
  <c r="E68" i="87"/>
  <c r="M58" i="87"/>
  <c r="E67" i="87"/>
  <c r="M57" i="87"/>
  <c r="K53" i="75"/>
  <c r="K41" i="75"/>
  <c r="K29" i="75"/>
  <c r="N10" i="81"/>
  <c r="N9" i="81"/>
  <c r="N11" i="81" s="1"/>
  <c r="AC12" i="86"/>
  <c r="AB51" i="59"/>
  <c r="AB39" i="59"/>
  <c r="AB44" i="59"/>
  <c r="AB19" i="59"/>
  <c r="AB30" i="59"/>
  <c r="AA24" i="76"/>
  <c r="AA27" i="76"/>
  <c r="AA18" i="76"/>
  <c r="AA17" i="76"/>
  <c r="AA11" i="76"/>
  <c r="AA14" i="76"/>
  <c r="AD41" i="88"/>
  <c r="AD38" i="88"/>
  <c r="AD31" i="88"/>
  <c r="AD30" i="88"/>
  <c r="AD29" i="62"/>
  <c r="AD23" i="62"/>
  <c r="AD20" i="62"/>
  <c r="AD19" i="62"/>
  <c r="AD18" i="62"/>
  <c r="AD15" i="62"/>
  <c r="AD12" i="62"/>
  <c r="AD23" i="61"/>
  <c r="AD12" i="61"/>
  <c r="AD17" i="61"/>
  <c r="AA110" i="78"/>
  <c r="AA106" i="78"/>
  <c r="AA102" i="78"/>
  <c r="AA93" i="78"/>
  <c r="AA112" i="78"/>
  <c r="AA105" i="78"/>
  <c r="AA104" i="78"/>
  <c r="AA101" i="78"/>
  <c r="AA107" i="78"/>
  <c r="AA66" i="78"/>
  <c r="AA98" i="78"/>
  <c r="AA65" i="78"/>
  <c r="AA97" i="78"/>
  <c r="AA64" i="78"/>
  <c r="AA96" i="78"/>
  <c r="AA41" i="78"/>
  <c r="AA40" i="78"/>
  <c r="AA37" i="78"/>
  <c r="AA58" i="78"/>
  <c r="AA56" i="78"/>
  <c r="AA53" i="78"/>
  <c r="AA52" i="78"/>
  <c r="AA51" i="78"/>
  <c r="AA50" i="78"/>
  <c r="AA49" i="78"/>
  <c r="AA48" i="78"/>
  <c r="AA47" i="78"/>
  <c r="AA46" i="78"/>
  <c r="AD107" i="57"/>
  <c r="AD105" i="57"/>
  <c r="AD102" i="57"/>
  <c r="AD101" i="57"/>
  <c r="AD100" i="57"/>
  <c r="AD99" i="57"/>
  <c r="AD98" i="57"/>
  <c r="AD97" i="57"/>
  <c r="AD96" i="57"/>
  <c r="AD89" i="57"/>
  <c r="AD73" i="57"/>
  <c r="AD103" i="57"/>
  <c r="AD62" i="57"/>
  <c r="AD93" i="57"/>
  <c r="AD61" i="57"/>
  <c r="AD92" i="57"/>
  <c r="AD56" i="57"/>
  <c r="AD54" i="57"/>
  <c r="AD51" i="57"/>
  <c r="AD50" i="57"/>
  <c r="AD49" i="57"/>
  <c r="AD48" i="57"/>
  <c r="AD47" i="57"/>
  <c r="AD46" i="57"/>
  <c r="AD45" i="57"/>
  <c r="AD44" i="57"/>
  <c r="AD43" i="57"/>
  <c r="AD40" i="57"/>
  <c r="AD39" i="57"/>
  <c r="AD36" i="57"/>
  <c r="AD20" i="57"/>
  <c r="AD21" i="57"/>
  <c r="AD23" i="57"/>
  <c r="AA21" i="78"/>
  <c r="AA54" i="78"/>
  <c r="K57" i="75"/>
  <c r="M62" i="87"/>
  <c r="AD16" i="88"/>
  <c r="AD19" i="88" s="1"/>
  <c r="AD23" i="88" s="1"/>
  <c r="AD26" i="88" s="1"/>
  <c r="AD36" i="61"/>
  <c r="AD13" i="85"/>
  <c r="E66" i="87"/>
  <c r="E71" i="87"/>
  <c r="AC16" i="86"/>
  <c r="AB53" i="59"/>
  <c r="AA19" i="76"/>
  <c r="AD51" i="88"/>
  <c r="AD54" i="88" s="1"/>
  <c r="AD57" i="88" s="1"/>
  <c r="AD21" i="62"/>
  <c r="AD34" i="61"/>
  <c r="AA45" i="78"/>
  <c r="AA103" i="78"/>
  <c r="AA77" i="78"/>
  <c r="AD53" i="57"/>
  <c r="AD52" i="57"/>
  <c r="AD74" i="57"/>
  <c r="AD76" i="57"/>
  <c r="Z92" i="78"/>
  <c r="Z93" i="78" s="1"/>
  <c r="Y92" i="78"/>
  <c r="X92" i="78"/>
  <c r="V92" i="78"/>
  <c r="U92" i="78"/>
  <c r="T92" i="78"/>
  <c r="S93" i="78"/>
  <c r="R92" i="78"/>
  <c r="R91" i="78"/>
  <c r="Q92" i="78"/>
  <c r="P92" i="78"/>
  <c r="O93" i="78"/>
  <c r="N92" i="78"/>
  <c r="N93" i="78" s="1"/>
  <c r="M92" i="78"/>
  <c r="L92" i="78"/>
  <c r="J92" i="78"/>
  <c r="I92" i="78"/>
  <c r="I93" i="78" s="1"/>
  <c r="H92" i="78"/>
  <c r="F92" i="78"/>
  <c r="Z91" i="78"/>
  <c r="Y91" i="78"/>
  <c r="Y93" i="78" s="1"/>
  <c r="X91" i="78"/>
  <c r="V91" i="78"/>
  <c r="V93" i="78" s="1"/>
  <c r="U91" i="78"/>
  <c r="T91" i="78"/>
  <c r="Q91" i="78"/>
  <c r="P91" i="78"/>
  <c r="N91" i="78"/>
  <c r="M91" i="78"/>
  <c r="L91" i="78"/>
  <c r="J91" i="78"/>
  <c r="I91" i="78"/>
  <c r="H91" i="78"/>
  <c r="H93" i="78" s="1"/>
  <c r="F91" i="78"/>
  <c r="Z90" i="78"/>
  <c r="Y90" i="78"/>
  <c r="X90" i="78"/>
  <c r="V90" i="78"/>
  <c r="U90" i="78"/>
  <c r="T90" i="78"/>
  <c r="R90" i="78"/>
  <c r="Q90" i="78"/>
  <c r="P90" i="78"/>
  <c r="N90" i="78"/>
  <c r="M90" i="78"/>
  <c r="L90" i="78"/>
  <c r="J90" i="78"/>
  <c r="I90" i="78"/>
  <c r="H90" i="78"/>
  <c r="F90" i="78"/>
  <c r="E92" i="78"/>
  <c r="E93" i="78" s="1"/>
  <c r="E91" i="78"/>
  <c r="E90" i="78"/>
  <c r="W93" i="78"/>
  <c r="K93" i="78"/>
  <c r="AH89" i="57"/>
  <c r="AC89" i="57"/>
  <c r="AB89" i="57"/>
  <c r="AA89" i="57"/>
  <c r="Z89" i="57"/>
  <c r="Y89" i="57"/>
  <c r="X89" i="57"/>
  <c r="W89" i="57"/>
  <c r="V89" i="57"/>
  <c r="U89" i="57"/>
  <c r="T89" i="57"/>
  <c r="S89" i="57"/>
  <c r="R89" i="57"/>
  <c r="Q89" i="57"/>
  <c r="P89" i="57"/>
  <c r="O89" i="57"/>
  <c r="N89" i="57"/>
  <c r="M89" i="57"/>
  <c r="L89" i="57"/>
  <c r="K89" i="57"/>
  <c r="J89" i="57"/>
  <c r="I89" i="57"/>
  <c r="H89" i="57"/>
  <c r="G89" i="57"/>
  <c r="F89" i="57"/>
  <c r="E89" i="57"/>
  <c r="J93" i="78"/>
  <c r="Q93" i="78"/>
  <c r="AA22" i="78"/>
  <c r="M93" i="78"/>
  <c r="AD36" i="88"/>
  <c r="AA108" i="78"/>
  <c r="AA78" i="78"/>
  <c r="U93" i="78"/>
  <c r="AD55" i="57"/>
  <c r="AD25" i="57"/>
  <c r="AD57" i="57"/>
  <c r="AD104" i="57"/>
  <c r="G93" i="78"/>
  <c r="P93" i="78"/>
  <c r="X93" i="78"/>
  <c r="T93" i="78"/>
  <c r="M42" i="87"/>
  <c r="E51" i="87"/>
  <c r="AA55" i="78"/>
  <c r="AA24" i="78"/>
  <c r="AA57" i="78"/>
  <c r="AA109" i="78"/>
  <c r="AD78" i="57"/>
  <c r="AD108" i="57"/>
  <c r="AD106" i="57"/>
  <c r="F53" i="87"/>
  <c r="AA26" i="78"/>
  <c r="AA59" i="78"/>
  <c r="AA111" i="78"/>
  <c r="AA82" i="78"/>
  <c r="AA113" i="78"/>
  <c r="AB15" i="86"/>
  <c r="AB14" i="86"/>
  <c r="AB12" i="86"/>
  <c r="AA51" i="59"/>
  <c r="AA39" i="59"/>
  <c r="AA44" i="59"/>
  <c r="AA19" i="59"/>
  <c r="AA30" i="59"/>
  <c r="Z24" i="76"/>
  <c r="Z27" i="76"/>
  <c r="Z18" i="76"/>
  <c r="Z17" i="76"/>
  <c r="Z11" i="76"/>
  <c r="Z14" i="76"/>
  <c r="AC41" i="88"/>
  <c r="AC38" i="88"/>
  <c r="AC31" i="88"/>
  <c r="AC30" i="88"/>
  <c r="AC29" i="62"/>
  <c r="AC23" i="62"/>
  <c r="AC20" i="62"/>
  <c r="AC19" i="62"/>
  <c r="AC18" i="62"/>
  <c r="AC15" i="62"/>
  <c r="AC12" i="62"/>
  <c r="AC23" i="61"/>
  <c r="AC34" i="61"/>
  <c r="AC12" i="61"/>
  <c r="AC17" i="61"/>
  <c r="AC13" i="85"/>
  <c r="AC23" i="85"/>
  <c r="Z87" i="78"/>
  <c r="Z86" i="78"/>
  <c r="Z83" i="78"/>
  <c r="Z81" i="78"/>
  <c r="Z79" i="78"/>
  <c r="Z76" i="78"/>
  <c r="Z75" i="78"/>
  <c r="Z106" i="78" s="1"/>
  <c r="Z74" i="78"/>
  <c r="Z73" i="78"/>
  <c r="Z72" i="78"/>
  <c r="Z71" i="78"/>
  <c r="Z70" i="78"/>
  <c r="Z68" i="78"/>
  <c r="Z66" i="78"/>
  <c r="Z98" i="78"/>
  <c r="Z65" i="78"/>
  <c r="Z97" i="78"/>
  <c r="Z64" i="78"/>
  <c r="Z96" i="78"/>
  <c r="Z41" i="78"/>
  <c r="Z40" i="78"/>
  <c r="Z36" i="78"/>
  <c r="Z35" i="78"/>
  <c r="Z37" i="78" s="1"/>
  <c r="Z34" i="78"/>
  <c r="Z31" i="78"/>
  <c r="Z30" i="78"/>
  <c r="Z27" i="78"/>
  <c r="Z25" i="78"/>
  <c r="Z23" i="78"/>
  <c r="Z20" i="78"/>
  <c r="Z19" i="78"/>
  <c r="Z52" i="78" s="1"/>
  <c r="Z18" i="78"/>
  <c r="Z17" i="78"/>
  <c r="Z16" i="78"/>
  <c r="Z15" i="78"/>
  <c r="Z14" i="78"/>
  <c r="Z13" i="78"/>
  <c r="Z12" i="78"/>
  <c r="Z10" i="78"/>
  <c r="Z58" i="78" s="1"/>
  <c r="AC107" i="57"/>
  <c r="AC105" i="57"/>
  <c r="AC102" i="57"/>
  <c r="AC101" i="57"/>
  <c r="AC100" i="57"/>
  <c r="AC99" i="57"/>
  <c r="AC98" i="57"/>
  <c r="AC97" i="57"/>
  <c r="AC96" i="57"/>
  <c r="AC73" i="57"/>
  <c r="AC103" i="57"/>
  <c r="AC62" i="57"/>
  <c r="AC93" i="57"/>
  <c r="AC61" i="57"/>
  <c r="AC92" i="57"/>
  <c r="AC56" i="57"/>
  <c r="AC54" i="57"/>
  <c r="AC51" i="57"/>
  <c r="AC50" i="57"/>
  <c r="AC49" i="57"/>
  <c r="AC48" i="57"/>
  <c r="AC47" i="57"/>
  <c r="AC46" i="57"/>
  <c r="AC45" i="57"/>
  <c r="AC44" i="57"/>
  <c r="AC43" i="57"/>
  <c r="AC40" i="57"/>
  <c r="AC39" i="57"/>
  <c r="AC36" i="57"/>
  <c r="AC20" i="57"/>
  <c r="AC52" i="57"/>
  <c r="AC16" i="88"/>
  <c r="AC19" i="88" s="1"/>
  <c r="AC23" i="88" s="1"/>
  <c r="AC26" i="88" s="1"/>
  <c r="Z50" i="78"/>
  <c r="AC51" i="88"/>
  <c r="AC54" i="88" s="1"/>
  <c r="AC57" i="88" s="1"/>
  <c r="Z105" i="78"/>
  <c r="Z21" i="78"/>
  <c r="Z54" i="78" s="1"/>
  <c r="AB16" i="86"/>
  <c r="AA53" i="59"/>
  <c r="Z19" i="76"/>
  <c r="AC21" i="62"/>
  <c r="AC36" i="61"/>
  <c r="AC21" i="57"/>
  <c r="AC23" i="57"/>
  <c r="AC74" i="57"/>
  <c r="AC76" i="57"/>
  <c r="AA16" i="86"/>
  <c r="AA15" i="86"/>
  <c r="AA14" i="86"/>
  <c r="AC36" i="88"/>
  <c r="AC104" i="57"/>
  <c r="AC53" i="57"/>
  <c r="AA12" i="86"/>
  <c r="Z51" i="59"/>
  <c r="Z39" i="59"/>
  <c r="Z44" i="59"/>
  <c r="Z53" i="59"/>
  <c r="Z19" i="59"/>
  <c r="Z30" i="59"/>
  <c r="Y24" i="76"/>
  <c r="Y27" i="76"/>
  <c r="Y18" i="76"/>
  <c r="Y17" i="76"/>
  <c r="Y11" i="76"/>
  <c r="Y14" i="76"/>
  <c r="AB41" i="88"/>
  <c r="AB38" i="88"/>
  <c r="AB31" i="88"/>
  <c r="AB30" i="88"/>
  <c r="AB29" i="62"/>
  <c r="AB23" i="62"/>
  <c r="AB20" i="62"/>
  <c r="AB19" i="62"/>
  <c r="AB18" i="62"/>
  <c r="AB15" i="62"/>
  <c r="AB12" i="62"/>
  <c r="AC55" i="57"/>
  <c r="AC25" i="57"/>
  <c r="AC57" i="57"/>
  <c r="AC78" i="57"/>
  <c r="AC108" i="57"/>
  <c r="AC106" i="57"/>
  <c r="AB21" i="62"/>
  <c r="AB16" i="88"/>
  <c r="AB19" i="88" s="1"/>
  <c r="AB23" i="88" s="1"/>
  <c r="AB26" i="88" s="1"/>
  <c r="Y19" i="76"/>
  <c r="AB51" i="88"/>
  <c r="AB54" i="88" s="1"/>
  <c r="AB57" i="88" s="1"/>
  <c r="AB23" i="61"/>
  <c r="AB34" i="61"/>
  <c r="AB12" i="61"/>
  <c r="AB17" i="61"/>
  <c r="AB13" i="85"/>
  <c r="AB23" i="85"/>
  <c r="Y87" i="78"/>
  <c r="Y86" i="78"/>
  <c r="Y83" i="78"/>
  <c r="Y81" i="78"/>
  <c r="Y79" i="78"/>
  <c r="Y76" i="78"/>
  <c r="Y75" i="78"/>
  <c r="Y74" i="78"/>
  <c r="Y73" i="78"/>
  <c r="Y72" i="78"/>
  <c r="Y71" i="78"/>
  <c r="Y70" i="78"/>
  <c r="Y68" i="78"/>
  <c r="Y66" i="78"/>
  <c r="Y98" i="78"/>
  <c r="Y65" i="78"/>
  <c r="Y97" i="78"/>
  <c r="Y64" i="78"/>
  <c r="Y96" i="78"/>
  <c r="Y41" i="78"/>
  <c r="Y40" i="78"/>
  <c r="Y36" i="78"/>
  <c r="Y35" i="78"/>
  <c r="Y34" i="78"/>
  <c r="Y31" i="78"/>
  <c r="Y30" i="78"/>
  <c r="Y27" i="78"/>
  <c r="Y25" i="78"/>
  <c r="Y23" i="78"/>
  <c r="Y20" i="78"/>
  <c r="Y19" i="78"/>
  <c r="Y18" i="78"/>
  <c r="Y17" i="78"/>
  <c r="Y16" i="78"/>
  <c r="Y15" i="78"/>
  <c r="Y14" i="78"/>
  <c r="Y13" i="78"/>
  <c r="Y12" i="78"/>
  <c r="Y10" i="78"/>
  <c r="Y50" i="78" s="1"/>
  <c r="AB107" i="57"/>
  <c r="AB105" i="57"/>
  <c r="AB102" i="57"/>
  <c r="AB101" i="57"/>
  <c r="AB100" i="57"/>
  <c r="AB99" i="57"/>
  <c r="AB98" i="57"/>
  <c r="AB97" i="57"/>
  <c r="AB96" i="57"/>
  <c r="AB73" i="57"/>
  <c r="AB103" i="57"/>
  <c r="AB62" i="57"/>
  <c r="AB93" i="57"/>
  <c r="AB61" i="57"/>
  <c r="AB92" i="57"/>
  <c r="AB56" i="57"/>
  <c r="AB54" i="57"/>
  <c r="AB51" i="57"/>
  <c r="AB50" i="57"/>
  <c r="AB49" i="57"/>
  <c r="AB48" i="57"/>
  <c r="AB47" i="57"/>
  <c r="AB46" i="57"/>
  <c r="AB45" i="57"/>
  <c r="AB44" i="57"/>
  <c r="AB43" i="57"/>
  <c r="AB40" i="57"/>
  <c r="AB39" i="57"/>
  <c r="AB36" i="57"/>
  <c r="AB20" i="57"/>
  <c r="AB21" i="57"/>
  <c r="AB23" i="57"/>
  <c r="Y104" i="78"/>
  <c r="Y37" i="78"/>
  <c r="AB36" i="88"/>
  <c r="AB36" i="61"/>
  <c r="AB53" i="57"/>
  <c r="AB52" i="57"/>
  <c r="AB74" i="57"/>
  <c r="AB76" i="57"/>
  <c r="AA38" i="88"/>
  <c r="Z38" i="88"/>
  <c r="Y38" i="88"/>
  <c r="X38" i="88"/>
  <c r="W38" i="88"/>
  <c r="V38" i="88"/>
  <c r="U38" i="88"/>
  <c r="T38" i="88"/>
  <c r="S38" i="88"/>
  <c r="R38" i="88"/>
  <c r="Q38" i="88"/>
  <c r="P38" i="88"/>
  <c r="O38" i="88"/>
  <c r="N38" i="88"/>
  <c r="M38" i="88"/>
  <c r="L38" i="88"/>
  <c r="K38" i="88"/>
  <c r="J38" i="88"/>
  <c r="I38" i="88"/>
  <c r="H38" i="88"/>
  <c r="G38" i="88"/>
  <c r="AA31" i="88"/>
  <c r="Z31" i="88"/>
  <c r="Y31" i="88"/>
  <c r="X31" i="88"/>
  <c r="W31" i="88"/>
  <c r="V31" i="88"/>
  <c r="U31" i="88"/>
  <c r="T31" i="88"/>
  <c r="S31" i="88"/>
  <c r="R31" i="88"/>
  <c r="Q31" i="88"/>
  <c r="P31" i="88"/>
  <c r="O31" i="88"/>
  <c r="N31" i="88"/>
  <c r="M31" i="88"/>
  <c r="L31" i="88"/>
  <c r="K31" i="88"/>
  <c r="J31" i="88"/>
  <c r="I31" i="88"/>
  <c r="H31" i="88"/>
  <c r="G31" i="88"/>
  <c r="AA30" i="88"/>
  <c r="Z30" i="88"/>
  <c r="Y30" i="88"/>
  <c r="X30" i="88"/>
  <c r="W30" i="88"/>
  <c r="V30" i="88"/>
  <c r="U30" i="88"/>
  <c r="T30" i="88"/>
  <c r="S30" i="88"/>
  <c r="R30" i="88"/>
  <c r="Q30" i="88"/>
  <c r="P30" i="88"/>
  <c r="O30" i="88"/>
  <c r="N30" i="88"/>
  <c r="M30" i="88"/>
  <c r="L30" i="88"/>
  <c r="K30" i="88"/>
  <c r="J30" i="88"/>
  <c r="I30" i="88"/>
  <c r="H30" i="88"/>
  <c r="G30" i="88"/>
  <c r="F30" i="88"/>
  <c r="AA41" i="88"/>
  <c r="Z41" i="88"/>
  <c r="Y41" i="88"/>
  <c r="X41" i="88"/>
  <c r="W41" i="88"/>
  <c r="V41" i="88"/>
  <c r="U41" i="88"/>
  <c r="T41" i="88"/>
  <c r="S41" i="88"/>
  <c r="R41" i="88"/>
  <c r="Q41" i="88"/>
  <c r="P41" i="88"/>
  <c r="O41" i="88"/>
  <c r="N41" i="88"/>
  <c r="M41" i="88"/>
  <c r="L41" i="88"/>
  <c r="K41" i="88"/>
  <c r="J41" i="88"/>
  <c r="I41" i="88"/>
  <c r="H41" i="88"/>
  <c r="G41" i="88"/>
  <c r="F41" i="88"/>
  <c r="F38" i="88"/>
  <c r="F31" i="88"/>
  <c r="V51" i="88"/>
  <c r="V54" i="88" s="1"/>
  <c r="V57" i="88" s="1"/>
  <c r="G51" i="88"/>
  <c r="G54" i="88" s="1"/>
  <c r="G57" i="88" s="1"/>
  <c r="K51" i="88"/>
  <c r="K54" i="88" s="1"/>
  <c r="K57" i="88" s="1"/>
  <c r="F16" i="88"/>
  <c r="F19" i="88" s="1"/>
  <c r="F23" i="88" s="1"/>
  <c r="F26" i="88" s="1"/>
  <c r="J16" i="88"/>
  <c r="J19" i="88" s="1"/>
  <c r="J23" i="88" s="1"/>
  <c r="J26" i="88" s="1"/>
  <c r="N16" i="88"/>
  <c r="N19" i="88" s="1"/>
  <c r="N23" i="88" s="1"/>
  <c r="N26" i="88" s="1"/>
  <c r="R16" i="88"/>
  <c r="R19" i="88" s="1"/>
  <c r="R23" i="88" s="1"/>
  <c r="R26" i="88" s="1"/>
  <c r="O51" i="88"/>
  <c r="O54" i="88" s="1"/>
  <c r="O57" i="88" s="1"/>
  <c r="I51" i="88"/>
  <c r="I54" i="88" s="1"/>
  <c r="I57" i="88" s="1"/>
  <c r="G16" i="88"/>
  <c r="G19" i="88" s="1"/>
  <c r="G23" i="88" s="1"/>
  <c r="G26" i="88" s="1"/>
  <c r="K16" i="88"/>
  <c r="K19" i="88" s="1"/>
  <c r="K23" i="88" s="1"/>
  <c r="K26" i="88" s="1"/>
  <c r="O16" i="88"/>
  <c r="O19" i="88" s="1"/>
  <c r="O23" i="88" s="1"/>
  <c r="O26" i="88" s="1"/>
  <c r="S16" i="88"/>
  <c r="S19" i="88" s="1"/>
  <c r="S23" i="88" s="1"/>
  <c r="S26" i="88" s="1"/>
  <c r="W16" i="88"/>
  <c r="W19" i="88" s="1"/>
  <c r="W23" i="88" s="1"/>
  <c r="W26" i="88" s="1"/>
  <c r="R36" i="88"/>
  <c r="AB104" i="57"/>
  <c r="AB55" i="57"/>
  <c r="AB25" i="57"/>
  <c r="AB57" i="57"/>
  <c r="Z36" i="88"/>
  <c r="F54" i="88"/>
  <c r="J51" i="88"/>
  <c r="J54" i="88" s="1"/>
  <c r="J57" i="88" s="1"/>
  <c r="N51" i="88"/>
  <c r="N54" i="88" s="1"/>
  <c r="N57" i="88" s="1"/>
  <c r="R51" i="88"/>
  <c r="R54" i="88" s="1"/>
  <c r="R57" i="88" s="1"/>
  <c r="W51" i="88"/>
  <c r="W54" i="88" s="1"/>
  <c r="W57" i="88" s="1"/>
  <c r="M51" i="88"/>
  <c r="M54" i="88" s="1"/>
  <c r="M57" i="88" s="1"/>
  <c r="Q51" i="88"/>
  <c r="Q54" i="88" s="1"/>
  <c r="Q57" i="88" s="1"/>
  <c r="U51" i="88"/>
  <c r="U54" i="88" s="1"/>
  <c r="U57" i="88" s="1"/>
  <c r="Z16" i="88"/>
  <c r="Z19" i="88" s="1"/>
  <c r="Z23" i="88" s="1"/>
  <c r="Z26" i="88" s="1"/>
  <c r="G36" i="88"/>
  <c r="K36" i="88"/>
  <c r="S51" i="88"/>
  <c r="S54" i="88" s="1"/>
  <c r="S57" i="88" s="1"/>
  <c r="L16" i="88"/>
  <c r="L19" i="88" s="1"/>
  <c r="L23" i="88" s="1"/>
  <c r="L26" i="88" s="1"/>
  <c r="T16" i="88"/>
  <c r="T19" i="88" s="1"/>
  <c r="T23" i="88" s="1"/>
  <c r="T26" i="88" s="1"/>
  <c r="E19" i="88"/>
  <c r="E26" i="88" s="1"/>
  <c r="I16" i="88"/>
  <c r="I19" i="88" s="1"/>
  <c r="I23" i="88" s="1"/>
  <c r="I26" i="88" s="1"/>
  <c r="M16" i="88"/>
  <c r="M19" i="88" s="1"/>
  <c r="M23" i="88" s="1"/>
  <c r="M26" i="88" s="1"/>
  <c r="Q16" i="88"/>
  <c r="Q19" i="88" s="1"/>
  <c r="Q23" i="88" s="1"/>
  <c r="Q26" i="88" s="1"/>
  <c r="U16" i="88"/>
  <c r="U19" i="88" s="1"/>
  <c r="U23" i="88" s="1"/>
  <c r="U26" i="88" s="1"/>
  <c r="Y16" i="88"/>
  <c r="Y19" i="88" s="1"/>
  <c r="Y23" i="88" s="1"/>
  <c r="Y26" i="88" s="1"/>
  <c r="H51" i="88"/>
  <c r="H54" i="88" s="1"/>
  <c r="H57" i="88" s="1"/>
  <c r="L51" i="88"/>
  <c r="L54" i="88" s="1"/>
  <c r="L57" i="88" s="1"/>
  <c r="P51" i="88"/>
  <c r="P54" i="88" s="1"/>
  <c r="P57" i="88" s="1"/>
  <c r="T51" i="88"/>
  <c r="T54" i="88" s="1"/>
  <c r="T57" i="88" s="1"/>
  <c r="X51" i="88"/>
  <c r="X54" i="88" s="1"/>
  <c r="X57" i="88" s="1"/>
  <c r="H16" i="88"/>
  <c r="H19" i="88" s="1"/>
  <c r="H23" i="88" s="1"/>
  <c r="H26" i="88" s="1"/>
  <c r="P16" i="88"/>
  <c r="P19" i="88" s="1"/>
  <c r="P23" i="88" s="1"/>
  <c r="P26" i="88" s="1"/>
  <c r="V16" i="88"/>
  <c r="V19" i="88" s="1"/>
  <c r="V23" i="88" s="1"/>
  <c r="V26" i="88" s="1"/>
  <c r="X16" i="88"/>
  <c r="X19" i="88" s="1"/>
  <c r="X23" i="88" s="1"/>
  <c r="X26" i="88" s="1"/>
  <c r="Y51" i="88"/>
  <c r="Y54" i="88" s="1"/>
  <c r="Y57" i="88" s="1"/>
  <c r="Z51" i="88"/>
  <c r="Z54" i="88" s="1"/>
  <c r="Z57" i="88" s="1"/>
  <c r="AA51" i="88"/>
  <c r="AA54" i="88" s="1"/>
  <c r="AA57" i="88" s="1"/>
  <c r="AA16" i="88"/>
  <c r="AA19" i="88" s="1"/>
  <c r="AA23" i="88" s="1"/>
  <c r="AA26" i="88" s="1"/>
  <c r="S36" i="88"/>
  <c r="X36" i="88"/>
  <c r="N36" i="88"/>
  <c r="J36" i="88"/>
  <c r="L36" i="88"/>
  <c r="O36" i="88"/>
  <c r="W36" i="88"/>
  <c r="U36" i="88"/>
  <c r="AA36" i="88"/>
  <c r="Q36" i="88"/>
  <c r="P36" i="88"/>
  <c r="Y36" i="88"/>
  <c r="I36" i="88"/>
  <c r="H36" i="88"/>
  <c r="T36" i="88"/>
  <c r="V36" i="88"/>
  <c r="M36" i="88"/>
  <c r="AB106" i="57"/>
  <c r="AB78" i="57"/>
  <c r="AB108" i="57"/>
  <c r="B47" i="87"/>
  <c r="L44" i="87"/>
  <c r="K44" i="87"/>
  <c r="J44" i="87"/>
  <c r="I44" i="87"/>
  <c r="H44" i="87"/>
  <c r="G44" i="87"/>
  <c r="F44" i="87"/>
  <c r="E44" i="87"/>
  <c r="M43" i="87"/>
  <c r="E52" i="87"/>
  <c r="M41" i="87"/>
  <c r="E50" i="87"/>
  <c r="M40" i="87"/>
  <c r="E49" i="87"/>
  <c r="M39" i="87"/>
  <c r="E48" i="87"/>
  <c r="F35" i="87"/>
  <c r="B30" i="87"/>
  <c r="L27" i="87"/>
  <c r="K27" i="87"/>
  <c r="J27" i="87"/>
  <c r="I27" i="87"/>
  <c r="H27" i="87"/>
  <c r="G27" i="87"/>
  <c r="F27" i="87"/>
  <c r="E27" i="87"/>
  <c r="M26" i="87"/>
  <c r="E34" i="87"/>
  <c r="M25" i="87"/>
  <c r="E33" i="87"/>
  <c r="M24" i="87"/>
  <c r="E32" i="87"/>
  <c r="M23" i="87"/>
  <c r="E31" i="87"/>
  <c r="F19" i="87"/>
  <c r="B14" i="87"/>
  <c r="L11" i="87"/>
  <c r="K11" i="87"/>
  <c r="J11" i="87"/>
  <c r="I11" i="87"/>
  <c r="H11" i="87"/>
  <c r="G11" i="87"/>
  <c r="F11" i="87"/>
  <c r="E11" i="87"/>
  <c r="M10" i="87"/>
  <c r="E18" i="87"/>
  <c r="M9" i="87"/>
  <c r="E17" i="87"/>
  <c r="M8" i="87"/>
  <c r="E16" i="87"/>
  <c r="M7" i="87"/>
  <c r="Z15" i="86"/>
  <c r="Z14" i="86"/>
  <c r="Z16" i="86"/>
  <c r="Z12" i="86"/>
  <c r="Y51" i="59"/>
  <c r="Y39" i="59"/>
  <c r="Y44" i="59"/>
  <c r="Y19" i="59"/>
  <c r="Y30" i="59"/>
  <c r="X27" i="76"/>
  <c r="X24" i="76"/>
  <c r="X18" i="76"/>
  <c r="X17" i="76"/>
  <c r="X14" i="76"/>
  <c r="X11" i="76"/>
  <c r="AA29" i="62"/>
  <c r="AA23" i="62"/>
  <c r="AA20" i="62"/>
  <c r="AA19" i="62"/>
  <c r="AA18" i="62"/>
  <c r="AA15" i="62"/>
  <c r="AA12" i="62"/>
  <c r="AA23" i="61"/>
  <c r="AA34" i="61"/>
  <c r="AA12" i="61"/>
  <c r="AA13" i="85"/>
  <c r="AA23" i="85"/>
  <c r="X87" i="78"/>
  <c r="X86" i="78"/>
  <c r="X83" i="78"/>
  <c r="X81" i="78"/>
  <c r="X79" i="78"/>
  <c r="X76" i="78"/>
  <c r="X75" i="78"/>
  <c r="X74" i="78"/>
  <c r="X105" i="78" s="1"/>
  <c r="X73" i="78"/>
  <c r="X72" i="78"/>
  <c r="X71" i="78"/>
  <c r="X70" i="78"/>
  <c r="X68" i="78"/>
  <c r="X36" i="78"/>
  <c r="X35" i="78"/>
  <c r="X37" i="78" s="1"/>
  <c r="X34" i="78"/>
  <c r="X31" i="78"/>
  <c r="X30" i="78"/>
  <c r="X27" i="78"/>
  <c r="X25" i="78"/>
  <c r="X23" i="78"/>
  <c r="X20" i="78"/>
  <c r="X19" i="78"/>
  <c r="X18" i="78"/>
  <c r="X17" i="78"/>
  <c r="X16" i="78"/>
  <c r="X15" i="78"/>
  <c r="X14" i="78"/>
  <c r="X47" i="78" s="1"/>
  <c r="X13" i="78"/>
  <c r="X12" i="78"/>
  <c r="X10" i="78"/>
  <c r="X66" i="78"/>
  <c r="X98" i="78"/>
  <c r="X65" i="78"/>
  <c r="X97" i="78"/>
  <c r="X64" i="78"/>
  <c r="X96" i="78"/>
  <c r="X41" i="78"/>
  <c r="X40" i="78"/>
  <c r="AA107" i="57"/>
  <c r="AA105" i="57"/>
  <c r="AA102" i="57"/>
  <c r="AA101" i="57"/>
  <c r="AA100" i="57"/>
  <c r="AA99" i="57"/>
  <c r="AA98" i="57"/>
  <c r="AA97" i="57"/>
  <c r="AA96" i="57"/>
  <c r="AA73" i="57"/>
  <c r="AA103" i="57"/>
  <c r="AA62" i="57"/>
  <c r="AA93" i="57"/>
  <c r="AA61" i="57"/>
  <c r="AA92" i="57"/>
  <c r="AA56" i="57"/>
  <c r="AA54" i="57"/>
  <c r="AA51" i="57"/>
  <c r="AA50" i="57"/>
  <c r="AA49" i="57"/>
  <c r="AA48" i="57"/>
  <c r="AA47" i="57"/>
  <c r="AA46" i="57"/>
  <c r="AA45" i="57"/>
  <c r="AA44" i="57"/>
  <c r="AA43" i="57"/>
  <c r="AA40" i="57"/>
  <c r="AA39" i="57"/>
  <c r="AA36" i="57"/>
  <c r="AA20" i="57"/>
  <c r="AA21" i="57"/>
  <c r="AA23" i="57"/>
  <c r="X102" i="78"/>
  <c r="M11" i="87"/>
  <c r="Y53" i="59"/>
  <c r="X19" i="76"/>
  <c r="AA21" i="62"/>
  <c r="AA36" i="61"/>
  <c r="AA17" i="61"/>
  <c r="X104" i="78"/>
  <c r="X53" i="78"/>
  <c r="E35" i="87"/>
  <c r="E53" i="87"/>
  <c r="M27" i="87"/>
  <c r="M44" i="87"/>
  <c r="E15" i="87"/>
  <c r="E19" i="87"/>
  <c r="X52" i="78"/>
  <c r="AA53" i="57"/>
  <c r="AA52" i="57"/>
  <c r="AA74" i="57"/>
  <c r="AA76" i="57"/>
  <c r="X35" i="59"/>
  <c r="AA104" i="57"/>
  <c r="AA55" i="57"/>
  <c r="AA25" i="57"/>
  <c r="AA57" i="57"/>
  <c r="W37" i="78"/>
  <c r="AH36" i="57"/>
  <c r="Z36" i="57"/>
  <c r="Y36" i="57"/>
  <c r="X36" i="57"/>
  <c r="W36" i="57"/>
  <c r="V36" i="57"/>
  <c r="U36" i="57"/>
  <c r="T36" i="57"/>
  <c r="S36" i="57"/>
  <c r="R36" i="57"/>
  <c r="Q36" i="57"/>
  <c r="P36" i="57"/>
  <c r="O36" i="57"/>
  <c r="N36" i="57"/>
  <c r="M36" i="57"/>
  <c r="L36" i="57"/>
  <c r="K36" i="57"/>
  <c r="J36" i="57"/>
  <c r="I36" i="57"/>
  <c r="H36" i="57"/>
  <c r="G36" i="57"/>
  <c r="F36" i="57"/>
  <c r="E36" i="57"/>
  <c r="AA78" i="57"/>
  <c r="AA108" i="57"/>
  <c r="AA106" i="57"/>
  <c r="W101" i="78"/>
  <c r="W45" i="78"/>
  <c r="Z96" i="57"/>
  <c r="Z43" i="57"/>
  <c r="Y15" i="86"/>
  <c r="Y14" i="86"/>
  <c r="F71" i="84"/>
  <c r="B65" i="84"/>
  <c r="L62" i="84"/>
  <c r="K62" i="84"/>
  <c r="J62" i="84"/>
  <c r="I62" i="84"/>
  <c r="H62" i="84"/>
  <c r="G62" i="84"/>
  <c r="F62" i="84"/>
  <c r="E62" i="84"/>
  <c r="M61" i="84"/>
  <c r="E70" i="84"/>
  <c r="M60" i="84"/>
  <c r="E69" i="84"/>
  <c r="M59" i="84"/>
  <c r="E68" i="84"/>
  <c r="M58" i="84"/>
  <c r="E67" i="84"/>
  <c r="M57" i="84"/>
  <c r="E66" i="84"/>
  <c r="J53" i="75"/>
  <c r="J41" i="75"/>
  <c r="J29" i="75"/>
  <c r="L10" i="81"/>
  <c r="L9" i="81"/>
  <c r="Y12" i="86"/>
  <c r="X51" i="59"/>
  <c r="X39" i="59"/>
  <c r="X44" i="59"/>
  <c r="X19" i="59"/>
  <c r="X30" i="59"/>
  <c r="W24" i="76"/>
  <c r="W27" i="76"/>
  <c r="W18" i="76"/>
  <c r="W17" i="76"/>
  <c r="W11" i="76"/>
  <c r="W14" i="76"/>
  <c r="Z29" i="62"/>
  <c r="Z23" i="62"/>
  <c r="Z20" i="62"/>
  <c r="Z19" i="62"/>
  <c r="Z18" i="62"/>
  <c r="Z15" i="62"/>
  <c r="Z12" i="62"/>
  <c r="Z23" i="61"/>
  <c r="Z12" i="61"/>
  <c r="Z17" i="61"/>
  <c r="Z13" i="85"/>
  <c r="Z23" i="85"/>
  <c r="W112" i="78"/>
  <c r="W107" i="78"/>
  <c r="W104" i="78"/>
  <c r="W103" i="78"/>
  <c r="W110" i="78"/>
  <c r="W106" i="78"/>
  <c r="W102" i="78"/>
  <c r="W66" i="78"/>
  <c r="W98" i="78"/>
  <c r="W65" i="78"/>
  <c r="W97" i="78"/>
  <c r="W64" i="78"/>
  <c r="W96" i="78"/>
  <c r="W41" i="78"/>
  <c r="W40" i="78"/>
  <c r="W56" i="78"/>
  <c r="W52" i="78"/>
  <c r="W48" i="78"/>
  <c r="W51" i="78"/>
  <c r="Z107" i="57"/>
  <c r="Z105" i="57"/>
  <c r="Z102" i="57"/>
  <c r="Z101" i="57"/>
  <c r="Z100" i="57"/>
  <c r="Z99" i="57"/>
  <c r="Z98" i="57"/>
  <c r="Z97" i="57"/>
  <c r="Z73" i="57"/>
  <c r="Z103" i="57"/>
  <c r="Z62" i="57"/>
  <c r="Z93" i="57"/>
  <c r="Z61" i="57"/>
  <c r="Z92" i="57"/>
  <c r="Z56" i="57"/>
  <c r="Z54" i="57"/>
  <c r="Z51" i="57"/>
  <c r="Z50" i="57"/>
  <c r="Z49" i="57"/>
  <c r="Z48" i="57"/>
  <c r="Z47" i="57"/>
  <c r="Z46" i="57"/>
  <c r="Z45" i="57"/>
  <c r="Z44" i="57"/>
  <c r="Z40" i="57"/>
  <c r="Z39" i="57"/>
  <c r="Z20" i="57"/>
  <c r="Z52" i="57"/>
  <c r="Z34" i="61"/>
  <c r="Z36" i="61"/>
  <c r="W21" i="78"/>
  <c r="W54" i="78"/>
  <c r="Z21" i="57"/>
  <c r="M62" i="84"/>
  <c r="E71" i="84"/>
  <c r="J57" i="75"/>
  <c r="Y16" i="86"/>
  <c r="X53" i="59"/>
  <c r="W19" i="76"/>
  <c r="Z21" i="62"/>
  <c r="W53" i="78"/>
  <c r="W46" i="78"/>
  <c r="W47" i="78"/>
  <c r="W77" i="78"/>
  <c r="W108" i="78"/>
  <c r="W105" i="78"/>
  <c r="W49" i="78"/>
  <c r="W50" i="78"/>
  <c r="W58" i="78"/>
  <c r="Z74" i="57"/>
  <c r="Z76" i="57"/>
  <c r="X15" i="86"/>
  <c r="W15" i="86"/>
  <c r="V15" i="86"/>
  <c r="U15" i="86"/>
  <c r="T15" i="86"/>
  <c r="S15" i="86"/>
  <c r="R15" i="86"/>
  <c r="R16" i="86"/>
  <c r="Q15" i="86"/>
  <c r="P15" i="86"/>
  <c r="O15" i="86"/>
  <c r="N15" i="86"/>
  <c r="M15" i="86"/>
  <c r="L15" i="86"/>
  <c r="K15" i="86"/>
  <c r="J15" i="86"/>
  <c r="I15" i="86"/>
  <c r="X14" i="86"/>
  <c r="W14" i="86"/>
  <c r="V14" i="86"/>
  <c r="U14" i="86"/>
  <c r="U16" i="86"/>
  <c r="T14" i="86"/>
  <c r="S14" i="86"/>
  <c r="S16" i="86"/>
  <c r="R14" i="86"/>
  <c r="Q14" i="86"/>
  <c r="P14" i="86"/>
  <c r="O14" i="86"/>
  <c r="N14" i="86"/>
  <c r="M14" i="86"/>
  <c r="L14" i="86"/>
  <c r="K14" i="86"/>
  <c r="J14" i="86"/>
  <c r="I14" i="86"/>
  <c r="H15" i="86"/>
  <c r="H14" i="86"/>
  <c r="G15" i="86"/>
  <c r="G14" i="86"/>
  <c r="G16" i="86"/>
  <c r="X16" i="86"/>
  <c r="W16" i="86"/>
  <c r="V16" i="86"/>
  <c r="T16" i="86"/>
  <c r="Q16" i="86"/>
  <c r="P16" i="86"/>
  <c r="O16" i="86"/>
  <c r="N16" i="86"/>
  <c r="M16" i="86"/>
  <c r="L16" i="86"/>
  <c r="K16" i="86"/>
  <c r="J16" i="86"/>
  <c r="I16" i="86"/>
  <c r="H16" i="86"/>
  <c r="X12" i="86"/>
  <c r="W12" i="86"/>
  <c r="V12" i="86"/>
  <c r="U12" i="86"/>
  <c r="T12" i="86"/>
  <c r="S12" i="86"/>
  <c r="R12" i="86"/>
  <c r="Q12" i="86"/>
  <c r="P12" i="86"/>
  <c r="O12" i="86"/>
  <c r="N12" i="86"/>
  <c r="M12" i="86"/>
  <c r="L12" i="86"/>
  <c r="K12" i="86"/>
  <c r="J12" i="86"/>
  <c r="I12" i="86"/>
  <c r="H12" i="86"/>
  <c r="G12" i="86"/>
  <c r="F12" i="86"/>
  <c r="E12" i="86"/>
  <c r="D12" i="86"/>
  <c r="Z53" i="57"/>
  <c r="Z23" i="57"/>
  <c r="W22" i="78"/>
  <c r="Z25" i="57"/>
  <c r="Z57" i="57"/>
  <c r="W78" i="78"/>
  <c r="Z104" i="57"/>
  <c r="W55" i="78"/>
  <c r="W24" i="78"/>
  <c r="W57" i="78"/>
  <c r="Z55" i="57"/>
  <c r="W109" i="78"/>
  <c r="Z106" i="57"/>
  <c r="Z78" i="57"/>
  <c r="Z108" i="57"/>
  <c r="W26" i="78"/>
  <c r="W59" i="78"/>
  <c r="W82" i="78"/>
  <c r="W113" i="78"/>
  <c r="W111" i="78"/>
  <c r="L17" i="85"/>
  <c r="N16" i="85"/>
  <c r="M16" i="85"/>
  <c r="N11" i="85"/>
  <c r="N13" i="85" s="1"/>
  <c r="M11" i="85"/>
  <c r="M13" i="85" s="1"/>
  <c r="M23" i="85" s="1"/>
  <c r="Q19" i="85"/>
  <c r="R17" i="85"/>
  <c r="R16" i="85"/>
  <c r="P11" i="85"/>
  <c r="P13" i="85" s="1"/>
  <c r="P23" i="85" s="1"/>
  <c r="T10" i="85"/>
  <c r="U17" i="85"/>
  <c r="U16" i="85"/>
  <c r="V17" i="85"/>
  <c r="V16" i="85"/>
  <c r="X11" i="85"/>
  <c r="X13" i="85" s="1"/>
  <c r="X23" i="85" s="1"/>
  <c r="X10" i="85"/>
  <c r="Y17" i="85"/>
  <c r="Y16" i="85"/>
  <c r="Y11" i="85"/>
  <c r="Y9" i="85"/>
  <c r="H21" i="85"/>
  <c r="I16" i="85"/>
  <c r="J12" i="85"/>
  <c r="H12" i="85"/>
  <c r="F16" i="85"/>
  <c r="F12" i="85"/>
  <c r="F9" i="85"/>
  <c r="V36" i="78"/>
  <c r="U36" i="78"/>
  <c r="T36" i="78"/>
  <c r="S36" i="78"/>
  <c r="S37" i="78" s="1"/>
  <c r="R36" i="78"/>
  <c r="Q36" i="78"/>
  <c r="P36" i="78"/>
  <c r="O36" i="78"/>
  <c r="O37" i="78" s="1"/>
  <c r="N36" i="78"/>
  <c r="M36" i="78"/>
  <c r="L36" i="78"/>
  <c r="K36" i="78"/>
  <c r="K37" i="78" s="1"/>
  <c r="J36" i="78"/>
  <c r="I36" i="78"/>
  <c r="H36" i="78"/>
  <c r="F36" i="78"/>
  <c r="E36" i="78"/>
  <c r="M42" i="84"/>
  <c r="E51" i="84"/>
  <c r="I22" i="85"/>
  <c r="N17" i="85"/>
  <c r="M17" i="85"/>
  <c r="K12" i="85"/>
  <c r="Q11" i="85"/>
  <c r="Q13" i="85" s="1"/>
  <c r="Q23" i="85" s="1"/>
  <c r="R10" i="85"/>
  <c r="L11" i="85"/>
  <c r="L13" i="85" s="1"/>
  <c r="L23" i="85" s="1"/>
  <c r="K11" i="85"/>
  <c r="J11" i="85"/>
  <c r="J13" i="85" s="1"/>
  <c r="I11" i="85"/>
  <c r="H11" i="85"/>
  <c r="H13" i="85" s="1"/>
  <c r="H23" i="85" s="1"/>
  <c r="G11" i="85"/>
  <c r="F11" i="85"/>
  <c r="F13" i="85" s="1"/>
  <c r="F23" i="85" s="1"/>
  <c r="E11" i="85"/>
  <c r="R11" i="85"/>
  <c r="W11" i="85"/>
  <c r="V11" i="85"/>
  <c r="U11" i="85"/>
  <c r="U13" i="85"/>
  <c r="U23" i="85" s="1"/>
  <c r="T11" i="85"/>
  <c r="T13" i="85" s="1"/>
  <c r="T23" i="85" s="1"/>
  <c r="S11" i="85"/>
  <c r="S13" i="85" s="1"/>
  <c r="S23" i="85" s="1"/>
  <c r="R13" i="85"/>
  <c r="R23" i="85" s="1"/>
  <c r="O11" i="85"/>
  <c r="O13" i="85" s="1"/>
  <c r="O23" i="85" s="1"/>
  <c r="Y13" i="85"/>
  <c r="Y23" i="85"/>
  <c r="N23" i="85"/>
  <c r="K13" i="85"/>
  <c r="K23" i="85" s="1"/>
  <c r="J23" i="85"/>
  <c r="I13" i="85"/>
  <c r="I23" i="85"/>
  <c r="G13" i="85"/>
  <c r="G23" i="85"/>
  <c r="F53" i="84"/>
  <c r="B47" i="84"/>
  <c r="L44" i="84"/>
  <c r="K44" i="84"/>
  <c r="J44" i="84"/>
  <c r="I44" i="84"/>
  <c r="H44" i="84"/>
  <c r="G44" i="84"/>
  <c r="F44" i="84"/>
  <c r="E44" i="84"/>
  <c r="M43" i="84"/>
  <c r="E52" i="84"/>
  <c r="M41" i="84"/>
  <c r="E50" i="84"/>
  <c r="M40" i="84"/>
  <c r="E49" i="84"/>
  <c r="M39" i="84"/>
  <c r="E48" i="84"/>
  <c r="W51" i="59"/>
  <c r="W39" i="59"/>
  <c r="W44" i="59"/>
  <c r="W19" i="59"/>
  <c r="W30" i="59"/>
  <c r="V24" i="76"/>
  <c r="V27" i="76"/>
  <c r="V18" i="76"/>
  <c r="V17" i="76"/>
  <c r="V11" i="76"/>
  <c r="V14" i="76"/>
  <c r="Y29" i="62"/>
  <c r="Y23" i="62"/>
  <c r="Y20" i="62"/>
  <c r="Y19" i="62"/>
  <c r="Y18" i="62"/>
  <c r="Y15" i="62"/>
  <c r="Y12" i="62"/>
  <c r="Y23" i="61"/>
  <c r="Y34" i="61"/>
  <c r="Y12" i="61"/>
  <c r="Y17" i="61"/>
  <c r="V87" i="78"/>
  <c r="V86" i="78"/>
  <c r="V83" i="78"/>
  <c r="V81" i="78"/>
  <c r="V79" i="78"/>
  <c r="V76" i="78"/>
  <c r="V75" i="78"/>
  <c r="V106" i="78" s="1"/>
  <c r="V73" i="78"/>
  <c r="V72" i="78"/>
  <c r="V70" i="78"/>
  <c r="V68" i="78"/>
  <c r="V110" i="78" s="1"/>
  <c r="V66" i="78"/>
  <c r="V98" i="78"/>
  <c r="V65" i="78"/>
  <c r="V97" i="78"/>
  <c r="V64" i="78"/>
  <c r="V96" i="78"/>
  <c r="V41" i="78"/>
  <c r="V40" i="78"/>
  <c r="V35" i="78"/>
  <c r="V37" i="78" s="1"/>
  <c r="V34" i="78"/>
  <c r="V31" i="78"/>
  <c r="V30" i="78"/>
  <c r="V27" i="78"/>
  <c r="V25" i="78"/>
  <c r="V23" i="78"/>
  <c r="V20" i="78"/>
  <c r="V53" i="78" s="1"/>
  <c r="V19" i="78"/>
  <c r="V18" i="78"/>
  <c r="V51" i="78" s="1"/>
  <c r="V17" i="78"/>
  <c r="V15" i="78"/>
  <c r="V48" i="78" s="1"/>
  <c r="V14" i="78"/>
  <c r="V12" i="78"/>
  <c r="V10" i="78"/>
  <c r="Y107" i="57"/>
  <c r="Y105" i="57"/>
  <c r="Y102" i="57"/>
  <c r="Y101" i="57"/>
  <c r="Y100" i="57"/>
  <c r="Y99" i="57"/>
  <c r="Y98" i="57"/>
  <c r="Y97" i="57"/>
  <c r="Y96" i="57"/>
  <c r="Y73" i="57"/>
  <c r="Y103" i="57"/>
  <c r="Y62" i="57"/>
  <c r="Y93" i="57"/>
  <c r="Y61" i="57"/>
  <c r="Y92" i="57"/>
  <c r="Y56" i="57"/>
  <c r="Y54" i="57"/>
  <c r="Y51" i="57"/>
  <c r="Y50" i="57"/>
  <c r="Y49" i="57"/>
  <c r="Y48" i="57"/>
  <c r="Y47" i="57"/>
  <c r="Y46" i="57"/>
  <c r="Y45" i="57"/>
  <c r="Y44" i="57"/>
  <c r="Y43" i="57"/>
  <c r="Y40" i="57"/>
  <c r="Y39" i="57"/>
  <c r="Y20" i="57"/>
  <c r="Y52" i="57"/>
  <c r="V52" i="78"/>
  <c r="E53" i="84"/>
  <c r="V19" i="76"/>
  <c r="V13" i="85"/>
  <c r="V23" i="85" s="1"/>
  <c r="W13" i="85"/>
  <c r="W23" i="85" s="1"/>
  <c r="V50" i="78"/>
  <c r="V56" i="78"/>
  <c r="V47" i="78"/>
  <c r="Y21" i="62"/>
  <c r="M44" i="84"/>
  <c r="W53" i="59"/>
  <c r="Y36" i="61"/>
  <c r="V45" i="78"/>
  <c r="Y21" i="57"/>
  <c r="Y23" i="57"/>
  <c r="Y74" i="57"/>
  <c r="Y76" i="57"/>
  <c r="X97" i="57"/>
  <c r="X96" i="57"/>
  <c r="X43" i="57"/>
  <c r="F35" i="84"/>
  <c r="B30" i="84"/>
  <c r="L27" i="84"/>
  <c r="K27" i="84"/>
  <c r="J27" i="84"/>
  <c r="I27" i="84"/>
  <c r="H27" i="84"/>
  <c r="G27" i="84"/>
  <c r="F27" i="84"/>
  <c r="E27" i="84"/>
  <c r="M26" i="84"/>
  <c r="E34" i="84"/>
  <c r="M25" i="84"/>
  <c r="E33" i="84"/>
  <c r="M24" i="84"/>
  <c r="E32" i="84"/>
  <c r="M23" i="84"/>
  <c r="E31" i="84"/>
  <c r="V51" i="59"/>
  <c r="V39" i="59"/>
  <c r="V44" i="59"/>
  <c r="V19" i="59"/>
  <c r="V30" i="59"/>
  <c r="U24" i="76"/>
  <c r="U27" i="76"/>
  <c r="U18" i="76"/>
  <c r="U17" i="76"/>
  <c r="U11" i="76"/>
  <c r="U14" i="76"/>
  <c r="X29" i="62"/>
  <c r="X23" i="62"/>
  <c r="X20" i="62"/>
  <c r="X19" i="62"/>
  <c r="X18" i="62"/>
  <c r="X15" i="62"/>
  <c r="X12" i="62"/>
  <c r="X23" i="61"/>
  <c r="X34" i="61"/>
  <c r="X12" i="61"/>
  <c r="X17" i="61"/>
  <c r="U87" i="78"/>
  <c r="U86" i="78"/>
  <c r="U83" i="78"/>
  <c r="U81" i="78"/>
  <c r="U79" i="78"/>
  <c r="U76" i="78"/>
  <c r="U75" i="78"/>
  <c r="U73" i="78"/>
  <c r="U72" i="78"/>
  <c r="U70" i="78"/>
  <c r="U68" i="78"/>
  <c r="U66" i="78"/>
  <c r="U98" i="78"/>
  <c r="U65" i="78"/>
  <c r="U97" i="78"/>
  <c r="U64" i="78"/>
  <c r="U96" i="78"/>
  <c r="U41" i="78"/>
  <c r="U40" i="78"/>
  <c r="U35" i="78"/>
  <c r="U37" i="78" s="1"/>
  <c r="U34" i="78"/>
  <c r="U31" i="78"/>
  <c r="U30" i="78"/>
  <c r="U27" i="78"/>
  <c r="U25" i="78"/>
  <c r="U58" i="78" s="1"/>
  <c r="U23" i="78"/>
  <c r="U20" i="78"/>
  <c r="U19" i="78"/>
  <c r="U18" i="78"/>
  <c r="U17" i="78"/>
  <c r="U15" i="78"/>
  <c r="U14" i="78"/>
  <c r="U12" i="78"/>
  <c r="U10" i="78"/>
  <c r="X107" i="57"/>
  <c r="X105" i="57"/>
  <c r="X102" i="57"/>
  <c r="X101" i="57"/>
  <c r="X100" i="57"/>
  <c r="X99" i="57"/>
  <c r="X98" i="57"/>
  <c r="X73" i="57"/>
  <c r="X103" i="57"/>
  <c r="X62" i="57"/>
  <c r="X93" i="57"/>
  <c r="X61" i="57"/>
  <c r="X92" i="57"/>
  <c r="X56" i="57"/>
  <c r="X54" i="57"/>
  <c r="X51" i="57"/>
  <c r="X50" i="57"/>
  <c r="X49" i="57"/>
  <c r="X48" i="57"/>
  <c r="X47" i="57"/>
  <c r="X46" i="57"/>
  <c r="X45" i="57"/>
  <c r="X44" i="57"/>
  <c r="X40" i="57"/>
  <c r="X39" i="57"/>
  <c r="X20" i="57"/>
  <c r="X52" i="57"/>
  <c r="T10" i="78"/>
  <c r="W96" i="57"/>
  <c r="W100" i="57"/>
  <c r="Y53" i="57"/>
  <c r="Y104" i="57"/>
  <c r="U106" i="78"/>
  <c r="U110" i="78"/>
  <c r="U19" i="76"/>
  <c r="U52" i="78"/>
  <c r="E35" i="84"/>
  <c r="M27" i="84"/>
  <c r="V53" i="59"/>
  <c r="X21" i="62"/>
  <c r="X36" i="61"/>
  <c r="X21" i="57"/>
  <c r="X23" i="57"/>
  <c r="X74" i="57"/>
  <c r="X76" i="57"/>
  <c r="Y78" i="57"/>
  <c r="Y108" i="57"/>
  <c r="Y106" i="57"/>
  <c r="Y55" i="57"/>
  <c r="Y25" i="57"/>
  <c r="Y57" i="57"/>
  <c r="X53" i="57"/>
  <c r="X104" i="57"/>
  <c r="X78" i="57"/>
  <c r="X108" i="57"/>
  <c r="X106" i="57"/>
  <c r="X55" i="57"/>
  <c r="X25" i="57"/>
  <c r="X57" i="57"/>
  <c r="G27" i="78"/>
  <c r="K27" i="78"/>
  <c r="O27" i="78"/>
  <c r="S27" i="78"/>
  <c r="T27" i="78"/>
  <c r="F27" i="78"/>
  <c r="F19" i="84"/>
  <c r="B14" i="84"/>
  <c r="L11" i="84"/>
  <c r="K11" i="84"/>
  <c r="I11" i="84"/>
  <c r="H11" i="84"/>
  <c r="F11" i="84"/>
  <c r="E11" i="84"/>
  <c r="M10" i="84"/>
  <c r="E18" i="84"/>
  <c r="M9" i="84"/>
  <c r="E17" i="84"/>
  <c r="M8" i="84"/>
  <c r="E16" i="84"/>
  <c r="J11" i="84"/>
  <c r="G11" i="84"/>
  <c r="U51" i="59"/>
  <c r="U39" i="59"/>
  <c r="U44" i="59"/>
  <c r="U19" i="59"/>
  <c r="U30" i="59"/>
  <c r="T24" i="76"/>
  <c r="T27" i="76"/>
  <c r="T18" i="76"/>
  <c r="T17" i="76"/>
  <c r="T11" i="76"/>
  <c r="T14" i="76"/>
  <c r="W29" i="62"/>
  <c r="W23" i="62"/>
  <c r="W20" i="62"/>
  <c r="W19" i="62"/>
  <c r="W18" i="62"/>
  <c r="W15" i="62"/>
  <c r="W12" i="62"/>
  <c r="T87" i="78"/>
  <c r="T86" i="78"/>
  <c r="T83" i="78"/>
  <c r="T81" i="78"/>
  <c r="T79" i="78"/>
  <c r="T76" i="78"/>
  <c r="T75" i="78"/>
  <c r="T73" i="78"/>
  <c r="T72" i="78"/>
  <c r="T70" i="78"/>
  <c r="T68" i="78"/>
  <c r="T103" i="78" s="1"/>
  <c r="T35" i="78"/>
  <c r="T37" i="78" s="1"/>
  <c r="T34" i="78"/>
  <c r="T31" i="78"/>
  <c r="T30" i="78"/>
  <c r="T25" i="78"/>
  <c r="T23" i="78"/>
  <c r="T20" i="78"/>
  <c r="T19" i="78"/>
  <c r="T52" i="78" s="1"/>
  <c r="T18" i="78"/>
  <c r="T17" i="78"/>
  <c r="T15" i="78"/>
  <c r="T14" i="78"/>
  <c r="T12" i="78"/>
  <c r="M7" i="84"/>
  <c r="U53" i="59"/>
  <c r="T19" i="76"/>
  <c r="W21" i="62"/>
  <c r="W23" i="61"/>
  <c r="W12" i="61"/>
  <c r="W17" i="61"/>
  <c r="W34" i="61"/>
  <c r="W36" i="61"/>
  <c r="E15" i="84"/>
  <c r="E19" i="84"/>
  <c r="M11" i="84"/>
  <c r="F83" i="78"/>
  <c r="E83" i="78"/>
  <c r="J83" i="78"/>
  <c r="I83" i="78"/>
  <c r="H83" i="78"/>
  <c r="N83" i="78"/>
  <c r="M83" i="78"/>
  <c r="L83" i="78"/>
  <c r="R83" i="78"/>
  <c r="Q83" i="78"/>
  <c r="P83" i="78"/>
  <c r="E27" i="78"/>
  <c r="J27" i="78"/>
  <c r="I27" i="78"/>
  <c r="H27" i="78"/>
  <c r="N27" i="78"/>
  <c r="M27" i="78"/>
  <c r="L27" i="78"/>
  <c r="R27" i="78"/>
  <c r="Q27" i="78"/>
  <c r="P27" i="78"/>
  <c r="T106" i="78"/>
  <c r="T66" i="78"/>
  <c r="T98" i="78"/>
  <c r="T65" i="78"/>
  <c r="T97" i="78"/>
  <c r="T64" i="78"/>
  <c r="T96" i="78"/>
  <c r="T51" i="78"/>
  <c r="T45" i="78"/>
  <c r="T41" i="78"/>
  <c r="T40" i="78"/>
  <c r="W107" i="57"/>
  <c r="W105" i="57"/>
  <c r="W102" i="57"/>
  <c r="W101" i="57"/>
  <c r="W99" i="57"/>
  <c r="W98" i="57"/>
  <c r="W97" i="57"/>
  <c r="W62" i="57"/>
  <c r="W93" i="57"/>
  <c r="W61" i="57"/>
  <c r="W92" i="57"/>
  <c r="W56" i="57"/>
  <c r="W54" i="57"/>
  <c r="W51" i="57"/>
  <c r="W50" i="57"/>
  <c r="W49" i="57"/>
  <c r="W48" i="57"/>
  <c r="W46" i="57"/>
  <c r="W45" i="57"/>
  <c r="W43" i="57"/>
  <c r="W40" i="57"/>
  <c r="W39" i="57"/>
  <c r="W47" i="57"/>
  <c r="W20" i="57"/>
  <c r="J10" i="81"/>
  <c r="D11" i="81"/>
  <c r="F11" i="81"/>
  <c r="H11" i="81"/>
  <c r="J39" i="82"/>
  <c r="G39" i="82"/>
  <c r="J23" i="82"/>
  <c r="G23" i="82"/>
  <c r="J7" i="82"/>
  <c r="G7" i="82"/>
  <c r="J43" i="64"/>
  <c r="G43" i="64"/>
  <c r="J25" i="64"/>
  <c r="G25" i="64"/>
  <c r="J7" i="64"/>
  <c r="G7" i="64"/>
  <c r="J59" i="65"/>
  <c r="G59" i="65"/>
  <c r="J43" i="65"/>
  <c r="G43" i="65"/>
  <c r="J25" i="65"/>
  <c r="G25" i="65"/>
  <c r="J7" i="65"/>
  <c r="G7" i="65"/>
  <c r="U70" i="57"/>
  <c r="U67" i="57"/>
  <c r="U15" i="57"/>
  <c r="U12" i="57"/>
  <c r="T70" i="57"/>
  <c r="T67" i="57"/>
  <c r="T15" i="57"/>
  <c r="T12" i="57"/>
  <c r="S70" i="57"/>
  <c r="S67" i="57"/>
  <c r="S15" i="57"/>
  <c r="S12" i="57"/>
  <c r="O16" i="78"/>
  <c r="O13" i="78"/>
  <c r="R70" i="57"/>
  <c r="R67" i="57"/>
  <c r="R15" i="57"/>
  <c r="R12" i="57"/>
  <c r="Q70" i="57"/>
  <c r="Q67" i="57"/>
  <c r="Q15" i="57"/>
  <c r="Q12" i="57"/>
  <c r="P70" i="57"/>
  <c r="P67" i="57"/>
  <c r="P15" i="57"/>
  <c r="P12" i="57"/>
  <c r="O70" i="57"/>
  <c r="O67" i="57"/>
  <c r="O15" i="57"/>
  <c r="O12" i="57"/>
  <c r="K74" i="78"/>
  <c r="K71" i="78"/>
  <c r="K16" i="78"/>
  <c r="K13" i="78"/>
  <c r="N70" i="57"/>
  <c r="N67" i="57"/>
  <c r="N15" i="57"/>
  <c r="N12" i="57"/>
  <c r="M70" i="57"/>
  <c r="M67" i="57"/>
  <c r="M15" i="57"/>
  <c r="M12" i="57"/>
  <c r="L70" i="57"/>
  <c r="L67" i="57"/>
  <c r="L15" i="57"/>
  <c r="L12" i="57"/>
  <c r="K70" i="57"/>
  <c r="K67" i="57"/>
  <c r="K15" i="57"/>
  <c r="K12" i="57"/>
  <c r="W52" i="57"/>
  <c r="W21" i="57"/>
  <c r="W23" i="57"/>
  <c r="W44" i="57"/>
  <c r="W73" i="57"/>
  <c r="S16" i="78"/>
  <c r="S49" i="78" s="1"/>
  <c r="S13" i="78"/>
  <c r="V70" i="57"/>
  <c r="V67" i="57"/>
  <c r="V15" i="57"/>
  <c r="V12" i="57"/>
  <c r="T13" i="78"/>
  <c r="V13" i="78"/>
  <c r="V46" i="78" s="1"/>
  <c r="T16" i="78"/>
  <c r="T49" i="78"/>
  <c r="V16" i="78"/>
  <c r="V49" i="78"/>
  <c r="T71" i="78"/>
  <c r="T102" i="78"/>
  <c r="V71" i="78"/>
  <c r="T74" i="78"/>
  <c r="V74" i="78"/>
  <c r="U13" i="78"/>
  <c r="U46" i="78" s="1"/>
  <c r="U71" i="78"/>
  <c r="U102" i="78" s="1"/>
  <c r="U16" i="78"/>
  <c r="U74" i="78"/>
  <c r="W103" i="57"/>
  <c r="W74" i="57"/>
  <c r="W76" i="57"/>
  <c r="W53" i="57"/>
  <c r="F67" i="82"/>
  <c r="B62" i="82"/>
  <c r="L59" i="82"/>
  <c r="K59" i="82"/>
  <c r="J59" i="82"/>
  <c r="I59" i="82"/>
  <c r="H59" i="82"/>
  <c r="G59" i="82"/>
  <c r="F59" i="82"/>
  <c r="E59" i="82"/>
  <c r="M58" i="82"/>
  <c r="E66" i="82"/>
  <c r="M57" i="82"/>
  <c r="E65" i="82"/>
  <c r="M56" i="82"/>
  <c r="E64" i="82"/>
  <c r="M55" i="82"/>
  <c r="E63" i="82"/>
  <c r="I53" i="75"/>
  <c r="I41" i="75"/>
  <c r="I29" i="75"/>
  <c r="J9" i="81"/>
  <c r="T51" i="59"/>
  <c r="T39" i="59"/>
  <c r="T44" i="59"/>
  <c r="T19" i="59"/>
  <c r="T30" i="59"/>
  <c r="S24" i="76"/>
  <c r="S27" i="76"/>
  <c r="S18" i="76"/>
  <c r="S17" i="76"/>
  <c r="S11" i="76"/>
  <c r="S14" i="76"/>
  <c r="V29" i="62"/>
  <c r="V23" i="62"/>
  <c r="V20" i="62"/>
  <c r="V19" i="62"/>
  <c r="V18" i="62"/>
  <c r="V15" i="62"/>
  <c r="V12" i="62"/>
  <c r="V23" i="61"/>
  <c r="V12" i="61"/>
  <c r="V17" i="61"/>
  <c r="S66" i="78"/>
  <c r="S98" i="78"/>
  <c r="S65" i="78"/>
  <c r="S97" i="78"/>
  <c r="S64" i="78"/>
  <c r="S96" i="78"/>
  <c r="S41" i="78"/>
  <c r="S40" i="78"/>
  <c r="S47" i="78"/>
  <c r="S45" i="78"/>
  <c r="V107" i="57"/>
  <c r="V105" i="57"/>
  <c r="V102" i="57"/>
  <c r="V101" i="57"/>
  <c r="V100" i="57"/>
  <c r="V99" i="57"/>
  <c r="V98" i="57"/>
  <c r="V97" i="57"/>
  <c r="V96" i="57"/>
  <c r="V73" i="57"/>
  <c r="V103" i="57"/>
  <c r="V62" i="57"/>
  <c r="V93" i="57"/>
  <c r="V61" i="57"/>
  <c r="V92" i="57"/>
  <c r="V56" i="57"/>
  <c r="V54" i="57"/>
  <c r="V51" i="57"/>
  <c r="V50" i="57"/>
  <c r="V49" i="57"/>
  <c r="V48" i="57"/>
  <c r="V47" i="57"/>
  <c r="V46" i="57"/>
  <c r="V45" i="57"/>
  <c r="V44" i="57"/>
  <c r="V43" i="57"/>
  <c r="V40" i="57"/>
  <c r="V39" i="57"/>
  <c r="V20" i="57"/>
  <c r="V52" i="57"/>
  <c r="R79" i="78"/>
  <c r="R76" i="78"/>
  <c r="R107" i="78" s="1"/>
  <c r="R75" i="78"/>
  <c r="R74" i="78"/>
  <c r="R73" i="78"/>
  <c r="R72" i="78"/>
  <c r="R103" i="78" s="1"/>
  <c r="R71" i="78"/>
  <c r="R70" i="78"/>
  <c r="R68" i="78"/>
  <c r="U107" i="57"/>
  <c r="U105" i="57"/>
  <c r="U102" i="57"/>
  <c r="U101" i="57"/>
  <c r="U100" i="57"/>
  <c r="U99" i="57"/>
  <c r="U98" i="57"/>
  <c r="U97" i="57"/>
  <c r="U96" i="57"/>
  <c r="U56" i="57"/>
  <c r="U54" i="57"/>
  <c r="U51" i="57"/>
  <c r="U50" i="57"/>
  <c r="U49" i="57"/>
  <c r="U48" i="57"/>
  <c r="U47" i="57"/>
  <c r="U46" i="57"/>
  <c r="U45" i="57"/>
  <c r="U44" i="57"/>
  <c r="U43" i="57"/>
  <c r="V102" i="78"/>
  <c r="V34" i="61"/>
  <c r="V36" i="61"/>
  <c r="W55" i="57"/>
  <c r="W25" i="57"/>
  <c r="W57" i="57"/>
  <c r="W104" i="57"/>
  <c r="S19" i="76"/>
  <c r="S108" i="78"/>
  <c r="S102" i="78"/>
  <c r="S104" i="78"/>
  <c r="S106" i="78"/>
  <c r="S110" i="78"/>
  <c r="S103" i="78"/>
  <c r="S105" i="78"/>
  <c r="S107" i="78"/>
  <c r="S112" i="78"/>
  <c r="S51" i="78"/>
  <c r="S53" i="78"/>
  <c r="S58" i="78"/>
  <c r="S46" i="78"/>
  <c r="S48" i="78"/>
  <c r="S50" i="78"/>
  <c r="S52" i="78"/>
  <c r="S56" i="78"/>
  <c r="E67" i="82"/>
  <c r="M59" i="82"/>
  <c r="I57" i="75"/>
  <c r="T53" i="59"/>
  <c r="V21" i="62"/>
  <c r="S101" i="78"/>
  <c r="S21" i="78"/>
  <c r="R110" i="78"/>
  <c r="V21" i="57"/>
  <c r="V23" i="57"/>
  <c r="V74" i="57"/>
  <c r="V76" i="57"/>
  <c r="F51" i="82"/>
  <c r="B46" i="82"/>
  <c r="L43" i="82"/>
  <c r="K43" i="82"/>
  <c r="J43" i="82"/>
  <c r="I43" i="82"/>
  <c r="H43" i="82"/>
  <c r="G43" i="82"/>
  <c r="F43" i="82"/>
  <c r="E43" i="82"/>
  <c r="M42" i="82"/>
  <c r="E50" i="82"/>
  <c r="M41" i="82"/>
  <c r="E49" i="82"/>
  <c r="M40" i="82"/>
  <c r="E48" i="82"/>
  <c r="M39" i="82"/>
  <c r="E47" i="82"/>
  <c r="S51" i="59"/>
  <c r="S39" i="59"/>
  <c r="S44" i="59"/>
  <c r="S19" i="59"/>
  <c r="S30" i="59"/>
  <c r="R24" i="76"/>
  <c r="R27" i="76"/>
  <c r="R18" i="76"/>
  <c r="R17" i="76"/>
  <c r="R11" i="76"/>
  <c r="R14" i="76"/>
  <c r="U29" i="62"/>
  <c r="U23" i="62"/>
  <c r="U20" i="62"/>
  <c r="U19" i="62"/>
  <c r="U18" i="62"/>
  <c r="U15" i="62"/>
  <c r="U12" i="62"/>
  <c r="U23" i="61"/>
  <c r="U34" i="61"/>
  <c r="U12" i="61"/>
  <c r="U17" i="61"/>
  <c r="R87" i="78"/>
  <c r="R86" i="78"/>
  <c r="R81" i="78"/>
  <c r="R66" i="78"/>
  <c r="R98" i="78"/>
  <c r="R65" i="78"/>
  <c r="R97" i="78"/>
  <c r="R64" i="78"/>
  <c r="R96" i="78"/>
  <c r="R41" i="78"/>
  <c r="R40" i="78"/>
  <c r="R35" i="78"/>
  <c r="R37" i="78" s="1"/>
  <c r="R34" i="78"/>
  <c r="R31" i="78"/>
  <c r="R30" i="78"/>
  <c r="R25" i="78"/>
  <c r="R23" i="78"/>
  <c r="R56" i="78" s="1"/>
  <c r="R20" i="78"/>
  <c r="R16" i="78"/>
  <c r="R15" i="78"/>
  <c r="R14" i="78"/>
  <c r="R47" i="78" s="1"/>
  <c r="R13" i="78"/>
  <c r="R12" i="78"/>
  <c r="R10" i="78"/>
  <c r="U73" i="57"/>
  <c r="U103" i="57"/>
  <c r="U62" i="57"/>
  <c r="U93" i="57"/>
  <c r="U61" i="57"/>
  <c r="U92" i="57"/>
  <c r="U40" i="57"/>
  <c r="U39" i="57"/>
  <c r="U20" i="57"/>
  <c r="U52" i="57"/>
  <c r="F35" i="82"/>
  <c r="B30" i="82"/>
  <c r="L27" i="82"/>
  <c r="K27" i="82"/>
  <c r="J27" i="82"/>
  <c r="I27" i="82"/>
  <c r="H27" i="82"/>
  <c r="G27" i="82"/>
  <c r="F27" i="82"/>
  <c r="E27" i="82"/>
  <c r="M26" i="82"/>
  <c r="E34" i="82"/>
  <c r="M25" i="82"/>
  <c r="E33" i="82"/>
  <c r="M24" i="82"/>
  <c r="E32" i="82"/>
  <c r="M23" i="82"/>
  <c r="E31" i="82"/>
  <c r="R51" i="59"/>
  <c r="R39" i="59"/>
  <c r="R44" i="59"/>
  <c r="R19" i="59"/>
  <c r="R30" i="59"/>
  <c r="Q24" i="76"/>
  <c r="Q27" i="76"/>
  <c r="Q18" i="76"/>
  <c r="Q17" i="76"/>
  <c r="Q11" i="76"/>
  <c r="Q14" i="76"/>
  <c r="T29" i="62"/>
  <c r="T23" i="62"/>
  <c r="T20" i="62"/>
  <c r="T19" i="62"/>
  <c r="T18" i="62"/>
  <c r="T15" i="62"/>
  <c r="T12" i="62"/>
  <c r="T23" i="61"/>
  <c r="T34" i="61"/>
  <c r="T12" i="61"/>
  <c r="T17" i="61"/>
  <c r="Q87" i="78"/>
  <c r="Q86" i="78"/>
  <c r="Q81" i="78"/>
  <c r="Q112" i="78" s="1"/>
  <c r="Q79" i="78"/>
  <c r="Q76" i="78"/>
  <c r="Q75" i="78"/>
  <c r="Q74" i="78"/>
  <c r="Q105" i="78" s="1"/>
  <c r="Q73" i="78"/>
  <c r="Q72" i="78"/>
  <c r="Q71" i="78"/>
  <c r="Q70" i="78"/>
  <c r="Q77" i="78" s="1"/>
  <c r="Q108" i="78" s="1"/>
  <c r="Q68" i="78"/>
  <c r="Q66" i="78"/>
  <c r="Q98" i="78"/>
  <c r="Q65" i="78"/>
  <c r="Q97" i="78"/>
  <c r="Q64" i="78"/>
  <c r="Q96" i="78"/>
  <c r="Q41" i="78"/>
  <c r="Q40" i="78"/>
  <c r="Q35" i="78"/>
  <c r="Q34" i="78"/>
  <c r="Q31" i="78"/>
  <c r="Q30" i="78"/>
  <c r="Q25" i="78"/>
  <c r="Q23" i="78"/>
  <c r="Q20" i="78"/>
  <c r="Q16" i="78"/>
  <c r="Q15" i="78"/>
  <c r="Q14" i="78"/>
  <c r="Q13" i="78"/>
  <c r="Q46" i="78" s="1"/>
  <c r="Q12" i="78"/>
  <c r="Q10" i="78"/>
  <c r="T107" i="57"/>
  <c r="T105" i="57"/>
  <c r="T102" i="57"/>
  <c r="T101" i="57"/>
  <c r="T100" i="57"/>
  <c r="T99" i="57"/>
  <c r="T98" i="57"/>
  <c r="T97" i="57"/>
  <c r="T96" i="57"/>
  <c r="T73" i="57"/>
  <c r="T103" i="57"/>
  <c r="T62" i="57"/>
  <c r="T93" i="57"/>
  <c r="T61" i="57"/>
  <c r="T92" i="57"/>
  <c r="T56" i="57"/>
  <c r="T54" i="57"/>
  <c r="T51" i="57"/>
  <c r="T50" i="57"/>
  <c r="T49" i="57"/>
  <c r="T48" i="57"/>
  <c r="T47" i="57"/>
  <c r="T46" i="57"/>
  <c r="T45" i="57"/>
  <c r="T44" i="57"/>
  <c r="T43" i="57"/>
  <c r="T40" i="57"/>
  <c r="T39" i="57"/>
  <c r="T20" i="57"/>
  <c r="T52" i="57"/>
  <c r="W78" i="57"/>
  <c r="W108" i="57"/>
  <c r="W106" i="57"/>
  <c r="V53" i="57"/>
  <c r="V104" i="57"/>
  <c r="R45" i="78"/>
  <c r="R49" i="78"/>
  <c r="R53" i="78"/>
  <c r="R58" i="78"/>
  <c r="R46" i="78"/>
  <c r="R48" i="78"/>
  <c r="E51" i="82"/>
  <c r="R19" i="76"/>
  <c r="U21" i="62"/>
  <c r="M43" i="82"/>
  <c r="S53" i="59"/>
  <c r="U36" i="61"/>
  <c r="U21" i="57"/>
  <c r="U23" i="57"/>
  <c r="U74" i="57"/>
  <c r="Q47" i="78"/>
  <c r="Q53" i="78"/>
  <c r="Q58" i="78"/>
  <c r="Q48" i="78"/>
  <c r="Q56" i="78"/>
  <c r="E35" i="82"/>
  <c r="Q19" i="76"/>
  <c r="Q103" i="78"/>
  <c r="Q107" i="78"/>
  <c r="Q102" i="78"/>
  <c r="Q104" i="78"/>
  <c r="Q106" i="78"/>
  <c r="Q110" i="78"/>
  <c r="M27" i="82"/>
  <c r="R53" i="59"/>
  <c r="T21" i="62"/>
  <c r="T36" i="61"/>
  <c r="T21" i="57"/>
  <c r="T23" i="57"/>
  <c r="T74" i="57"/>
  <c r="T76" i="57"/>
  <c r="P12" i="78"/>
  <c r="P10" i="78"/>
  <c r="P51" i="78" s="1"/>
  <c r="S107" i="57"/>
  <c r="S105" i="57"/>
  <c r="S102" i="57"/>
  <c r="S101" i="57"/>
  <c r="S100" i="57"/>
  <c r="S99" i="57"/>
  <c r="S98" i="57"/>
  <c r="S97" i="57"/>
  <c r="S96" i="57"/>
  <c r="S56" i="57"/>
  <c r="S54" i="57"/>
  <c r="S51" i="57"/>
  <c r="S50" i="57"/>
  <c r="S49" i="57"/>
  <c r="S48" i="57"/>
  <c r="S47" i="57"/>
  <c r="S46" i="57"/>
  <c r="S45" i="57"/>
  <c r="S44" i="57"/>
  <c r="S43" i="57"/>
  <c r="U104" i="57"/>
  <c r="U76" i="57"/>
  <c r="V78" i="57"/>
  <c r="V108" i="57"/>
  <c r="V106" i="57"/>
  <c r="V55" i="57"/>
  <c r="V25" i="57"/>
  <c r="V57" i="57"/>
  <c r="U53" i="57"/>
  <c r="U55" i="57"/>
  <c r="U106" i="57"/>
  <c r="P45" i="78"/>
  <c r="T53" i="57"/>
  <c r="T104" i="57"/>
  <c r="P35" i="78"/>
  <c r="P34" i="78"/>
  <c r="P31" i="78"/>
  <c r="P30" i="78"/>
  <c r="P25" i="78"/>
  <c r="P58" i="78"/>
  <c r="P23" i="78"/>
  <c r="P56" i="78" s="1"/>
  <c r="K7" i="64"/>
  <c r="L7" i="64"/>
  <c r="O71" i="57"/>
  <c r="O72" i="57"/>
  <c r="O17" i="57"/>
  <c r="O16" i="57"/>
  <c r="S20" i="62"/>
  <c r="S19" i="62"/>
  <c r="S18" i="62"/>
  <c r="F19" i="82"/>
  <c r="B14" i="82"/>
  <c r="L11" i="82"/>
  <c r="K11" i="82"/>
  <c r="J11" i="82"/>
  <c r="I11" i="82"/>
  <c r="H11" i="82"/>
  <c r="G11" i="82"/>
  <c r="F11" i="82"/>
  <c r="E11" i="82"/>
  <c r="M10" i="82"/>
  <c r="E18" i="82"/>
  <c r="M9" i="82"/>
  <c r="E17" i="82"/>
  <c r="M8" i="82"/>
  <c r="E16" i="82"/>
  <c r="M7" i="82"/>
  <c r="E15" i="82"/>
  <c r="P24" i="76"/>
  <c r="P27" i="76"/>
  <c r="P18" i="76"/>
  <c r="P17" i="76"/>
  <c r="P11" i="76"/>
  <c r="P14" i="76"/>
  <c r="P19" i="76"/>
  <c r="U78" i="57"/>
  <c r="U108" i="57"/>
  <c r="U25" i="57"/>
  <c r="U57" i="57"/>
  <c r="T78" i="57"/>
  <c r="T108" i="57"/>
  <c r="T106" i="57"/>
  <c r="T55" i="57"/>
  <c r="T25" i="57"/>
  <c r="T57" i="57"/>
  <c r="E19" i="82"/>
  <c r="M11" i="82"/>
  <c r="S29" i="62"/>
  <c r="S23" i="62"/>
  <c r="S21" i="62"/>
  <c r="S15" i="62"/>
  <c r="S12" i="62"/>
  <c r="S23" i="61"/>
  <c r="S12" i="61"/>
  <c r="S17" i="61"/>
  <c r="Q51" i="59"/>
  <c r="Q39" i="59"/>
  <c r="Q44" i="59"/>
  <c r="Q19" i="59"/>
  <c r="Q30" i="59"/>
  <c r="P87" i="78"/>
  <c r="P86" i="78"/>
  <c r="P81" i="78"/>
  <c r="P112" i="78" s="1"/>
  <c r="P79" i="78"/>
  <c r="P76" i="78"/>
  <c r="P75" i="78"/>
  <c r="P74" i="78"/>
  <c r="P73" i="78"/>
  <c r="P72" i="78"/>
  <c r="P103" i="78" s="1"/>
  <c r="P71" i="78"/>
  <c r="P70" i="78"/>
  <c r="P101" i="78" s="1"/>
  <c r="P68" i="78"/>
  <c r="P20" i="78"/>
  <c r="P16" i="78"/>
  <c r="P15" i="78"/>
  <c r="P14" i="78"/>
  <c r="P13" i="78"/>
  <c r="E97" i="78"/>
  <c r="F97" i="78"/>
  <c r="G97" i="78"/>
  <c r="H97" i="78"/>
  <c r="I97" i="78"/>
  <c r="J97" i="78"/>
  <c r="K97" i="78"/>
  <c r="L97" i="78"/>
  <c r="P66" i="78"/>
  <c r="P98" i="78"/>
  <c r="P65" i="78"/>
  <c r="P97" i="78"/>
  <c r="P64" i="78"/>
  <c r="P96" i="78"/>
  <c r="P41" i="78"/>
  <c r="P40" i="78"/>
  <c r="S73" i="57"/>
  <c r="S103" i="57"/>
  <c r="S62" i="57"/>
  <c r="S93" i="57"/>
  <c r="S61" i="57"/>
  <c r="S92" i="57"/>
  <c r="S40" i="57"/>
  <c r="S39" i="57"/>
  <c r="S20" i="57"/>
  <c r="S52" i="57"/>
  <c r="M77" i="57"/>
  <c r="N77" i="57"/>
  <c r="S34" i="61"/>
  <c r="S36" i="61"/>
  <c r="P106" i="78"/>
  <c r="P102" i="78"/>
  <c r="P104" i="78"/>
  <c r="P110" i="78"/>
  <c r="Q53" i="59"/>
  <c r="P105" i="78"/>
  <c r="S21" i="57"/>
  <c r="S74" i="57"/>
  <c r="L12" i="59"/>
  <c r="K22" i="76"/>
  <c r="K23" i="76"/>
  <c r="I22" i="76"/>
  <c r="I23" i="76"/>
  <c r="H22" i="76"/>
  <c r="H23" i="76"/>
  <c r="R18" i="57"/>
  <c r="R19" i="78"/>
  <c r="R52" i="78" s="1"/>
  <c r="R17" i="57"/>
  <c r="R18" i="78"/>
  <c r="R51" i="78"/>
  <c r="O19" i="78"/>
  <c r="O52" i="78"/>
  <c r="O18" i="78"/>
  <c r="O51" i="78"/>
  <c r="K76" i="78"/>
  <c r="K75" i="78"/>
  <c r="K18" i="78"/>
  <c r="K17" i="78"/>
  <c r="N72" i="57"/>
  <c r="N71" i="57"/>
  <c r="N17" i="57"/>
  <c r="N16" i="57"/>
  <c r="N65" i="64"/>
  <c r="E75" i="64"/>
  <c r="F77" i="64"/>
  <c r="B70" i="64"/>
  <c r="M67" i="64"/>
  <c r="L67" i="64"/>
  <c r="K67" i="64"/>
  <c r="J67" i="64"/>
  <c r="I67" i="64"/>
  <c r="H67" i="64"/>
  <c r="G67" i="64"/>
  <c r="F67" i="64"/>
  <c r="E67" i="64"/>
  <c r="N66" i="64"/>
  <c r="E76" i="64"/>
  <c r="N64" i="64"/>
  <c r="E74" i="64"/>
  <c r="N63" i="64"/>
  <c r="E73" i="64"/>
  <c r="N62" i="64"/>
  <c r="E72" i="64"/>
  <c r="N61" i="64"/>
  <c r="E71" i="64"/>
  <c r="F53" i="75"/>
  <c r="G53" i="75"/>
  <c r="H53" i="75"/>
  <c r="F41" i="75"/>
  <c r="G41" i="75"/>
  <c r="H41" i="75"/>
  <c r="F29" i="75"/>
  <c r="G29" i="75"/>
  <c r="H29" i="75"/>
  <c r="O24" i="76"/>
  <c r="O27" i="76"/>
  <c r="O18" i="76"/>
  <c r="O17" i="76"/>
  <c r="O11" i="76"/>
  <c r="O14" i="76"/>
  <c r="R29" i="62"/>
  <c r="R23" i="62"/>
  <c r="R20" i="62"/>
  <c r="R19" i="62"/>
  <c r="R18" i="62"/>
  <c r="R15" i="62"/>
  <c r="R12" i="62"/>
  <c r="R23" i="61"/>
  <c r="R34" i="61"/>
  <c r="R12" i="61"/>
  <c r="R17" i="61"/>
  <c r="P51" i="59"/>
  <c r="P39" i="59"/>
  <c r="P44" i="59"/>
  <c r="P19" i="59"/>
  <c r="P30" i="59"/>
  <c r="O50" i="78"/>
  <c r="O49" i="78"/>
  <c r="O48" i="78"/>
  <c r="O47" i="78"/>
  <c r="O46" i="78"/>
  <c r="O112" i="78"/>
  <c r="O110" i="78"/>
  <c r="O107" i="78"/>
  <c r="O106" i="78"/>
  <c r="O105" i="78"/>
  <c r="O104" i="78"/>
  <c r="O103" i="78"/>
  <c r="O102" i="78"/>
  <c r="O101" i="78"/>
  <c r="O66" i="78"/>
  <c r="O98" i="78"/>
  <c r="O65" i="78"/>
  <c r="O97" i="78"/>
  <c r="O64" i="78"/>
  <c r="O96" i="78"/>
  <c r="O41" i="78"/>
  <c r="O40" i="78"/>
  <c r="O58" i="78"/>
  <c r="O56" i="78"/>
  <c r="O53" i="78"/>
  <c r="O45" i="78"/>
  <c r="S104" i="57"/>
  <c r="S76" i="57"/>
  <c r="S53" i="57"/>
  <c r="S23" i="57"/>
  <c r="S55" i="57"/>
  <c r="P19" i="78"/>
  <c r="P52" i="78" s="1"/>
  <c r="Q19" i="78"/>
  <c r="Q52" i="78" s="1"/>
  <c r="S106" i="57"/>
  <c r="O19" i="76"/>
  <c r="G57" i="75"/>
  <c r="R36" i="61"/>
  <c r="F57" i="75"/>
  <c r="F60" i="75"/>
  <c r="G58" i="75"/>
  <c r="H57" i="75"/>
  <c r="E77" i="64"/>
  <c r="N67" i="64"/>
  <c r="R21" i="62"/>
  <c r="P53" i="59"/>
  <c r="O21" i="78"/>
  <c r="O54" i="78" s="1"/>
  <c r="O108" i="78"/>
  <c r="G60" i="75"/>
  <c r="H58" i="75"/>
  <c r="H60" i="75"/>
  <c r="I58" i="75"/>
  <c r="I60" i="75"/>
  <c r="J58" i="75"/>
  <c r="J60" i="75"/>
  <c r="K58" i="75"/>
  <c r="K60" i="75"/>
  <c r="S25" i="57"/>
  <c r="S57" i="57"/>
  <c r="S78" i="57"/>
  <c r="S108" i="57"/>
  <c r="O22" i="78"/>
  <c r="O24" i="78" s="1"/>
  <c r="O55" i="78"/>
  <c r="O109" i="78"/>
  <c r="O26" i="78"/>
  <c r="O59" i="78" s="1"/>
  <c r="O57" i="78"/>
  <c r="R47" i="57"/>
  <c r="R46" i="57"/>
  <c r="R45" i="57"/>
  <c r="R44" i="57"/>
  <c r="R43" i="57"/>
  <c r="R16" i="57"/>
  <c r="R17" i="78"/>
  <c r="R50" i="78" s="1"/>
  <c r="R107" i="57"/>
  <c r="R105" i="57"/>
  <c r="R102" i="57"/>
  <c r="R101" i="57"/>
  <c r="R100" i="57"/>
  <c r="R99" i="57"/>
  <c r="R98" i="57"/>
  <c r="R97" i="57"/>
  <c r="R96" i="57"/>
  <c r="R73" i="57"/>
  <c r="R103" i="57"/>
  <c r="R62" i="57"/>
  <c r="R93" i="57"/>
  <c r="R61" i="57"/>
  <c r="R92" i="57"/>
  <c r="R56" i="57"/>
  <c r="R54" i="57"/>
  <c r="R51" i="57"/>
  <c r="R50" i="57"/>
  <c r="R40" i="57"/>
  <c r="R39" i="57"/>
  <c r="R49" i="57"/>
  <c r="R20" i="57"/>
  <c r="R52" i="57"/>
  <c r="R21" i="57"/>
  <c r="R23" i="57"/>
  <c r="R48" i="57"/>
  <c r="R74" i="57"/>
  <c r="N76" i="78"/>
  <c r="N75" i="78"/>
  <c r="N74" i="78"/>
  <c r="N105" i="78" s="1"/>
  <c r="N73" i="78"/>
  <c r="N72" i="78"/>
  <c r="N71" i="78"/>
  <c r="N70" i="78"/>
  <c r="N101" i="78" s="1"/>
  <c r="Q56" i="57"/>
  <c r="Q54" i="57"/>
  <c r="Q51" i="57"/>
  <c r="Q50" i="57"/>
  <c r="Q47" i="57"/>
  <c r="Q46" i="57"/>
  <c r="Q45" i="57"/>
  <c r="Q44" i="57"/>
  <c r="N79" i="78"/>
  <c r="N23" i="78"/>
  <c r="Q107" i="57"/>
  <c r="Q105" i="57"/>
  <c r="Q102" i="57"/>
  <c r="Q101" i="57"/>
  <c r="Q100" i="57"/>
  <c r="Q99" i="57"/>
  <c r="Q98" i="57"/>
  <c r="Q97" i="57"/>
  <c r="Q96" i="57"/>
  <c r="Q62" i="57"/>
  <c r="Q43" i="57"/>
  <c r="C24" i="76"/>
  <c r="C18" i="76"/>
  <c r="C17" i="76"/>
  <c r="G24" i="76"/>
  <c r="G27" i="76"/>
  <c r="F24" i="76"/>
  <c r="F27" i="76"/>
  <c r="E24" i="76"/>
  <c r="E27" i="76"/>
  <c r="D24" i="76"/>
  <c r="D27" i="76"/>
  <c r="G11" i="76"/>
  <c r="F11" i="76"/>
  <c r="F14" i="76"/>
  <c r="E11" i="76"/>
  <c r="E14" i="76"/>
  <c r="D11" i="76"/>
  <c r="D14" i="76"/>
  <c r="G14" i="76"/>
  <c r="G18" i="76"/>
  <c r="F18" i="76"/>
  <c r="E18" i="76"/>
  <c r="D18" i="76"/>
  <c r="G17" i="76"/>
  <c r="G19" i="76"/>
  <c r="F17" i="76"/>
  <c r="F19" i="76"/>
  <c r="E17" i="76"/>
  <c r="E19" i="76"/>
  <c r="D17" i="76"/>
  <c r="D19" i="76"/>
  <c r="R76" i="57"/>
  <c r="R78" i="57"/>
  <c r="R108" i="57"/>
  <c r="R104" i="57"/>
  <c r="R53" i="57"/>
  <c r="R55" i="57"/>
  <c r="R25" i="57"/>
  <c r="R57" i="57"/>
  <c r="R106" i="57"/>
  <c r="Q17" i="57"/>
  <c r="Q18" i="78"/>
  <c r="Q51" i="78" s="1"/>
  <c r="Q16" i="57"/>
  <c r="Q17" i="78"/>
  <c r="Q50" i="78" s="1"/>
  <c r="Q49" i="57"/>
  <c r="P18" i="78"/>
  <c r="Q48" i="57"/>
  <c r="P17" i="78"/>
  <c r="P50" i="78" s="1"/>
  <c r="O11" i="59"/>
  <c r="O9" i="59"/>
  <c r="K17" i="57"/>
  <c r="L17" i="57"/>
  <c r="M72" i="57"/>
  <c r="M71" i="57"/>
  <c r="M17" i="57"/>
  <c r="M16" i="57"/>
  <c r="K24" i="76"/>
  <c r="K27" i="76"/>
  <c r="K18" i="76"/>
  <c r="K17" i="76"/>
  <c r="K11" i="76"/>
  <c r="N24" i="76"/>
  <c r="N27" i="76"/>
  <c r="M24" i="76"/>
  <c r="M27" i="76"/>
  <c r="L24" i="76"/>
  <c r="N18" i="76"/>
  <c r="M18" i="76"/>
  <c r="L18" i="76"/>
  <c r="N17" i="76"/>
  <c r="M17" i="76"/>
  <c r="L17" i="76"/>
  <c r="N11" i="76"/>
  <c r="N14" i="76"/>
  <c r="M11" i="76"/>
  <c r="M14" i="76"/>
  <c r="L11" i="76"/>
  <c r="F57" i="64"/>
  <c r="B51" i="64"/>
  <c r="M48" i="64"/>
  <c r="L48" i="64"/>
  <c r="K48" i="64"/>
  <c r="J48" i="64"/>
  <c r="I48" i="64"/>
  <c r="H48" i="64"/>
  <c r="G48" i="64"/>
  <c r="F48" i="64"/>
  <c r="E48" i="64"/>
  <c r="N47" i="64"/>
  <c r="E56" i="64"/>
  <c r="N46" i="64"/>
  <c r="E55" i="64"/>
  <c r="N45" i="64"/>
  <c r="E54" i="64"/>
  <c r="N44" i="64"/>
  <c r="E53" i="64"/>
  <c r="N43" i="64"/>
  <c r="E52" i="64"/>
  <c r="J24" i="76"/>
  <c r="J27" i="76"/>
  <c r="J18" i="76"/>
  <c r="J17" i="76"/>
  <c r="J11" i="76"/>
  <c r="J14" i="76"/>
  <c r="Q29" i="62"/>
  <c r="Q23" i="62"/>
  <c r="Q20" i="62"/>
  <c r="Q19" i="62"/>
  <c r="Q18" i="62"/>
  <c r="Q12" i="62"/>
  <c r="Q23" i="61"/>
  <c r="Q34" i="61"/>
  <c r="Q12" i="61"/>
  <c r="Q17" i="61"/>
  <c r="O51" i="59"/>
  <c r="O39" i="59"/>
  <c r="O44" i="59"/>
  <c r="O19" i="59"/>
  <c r="O30" i="59"/>
  <c r="N31" i="78"/>
  <c r="N30" i="78"/>
  <c r="N15" i="78"/>
  <c r="N48" i="78" s="1"/>
  <c r="N14" i="78"/>
  <c r="N13" i="78"/>
  <c r="N87" i="78"/>
  <c r="N86" i="78"/>
  <c r="N68" i="78"/>
  <c r="N66" i="78"/>
  <c r="N98" i="78"/>
  <c r="N65" i="78"/>
  <c r="N97" i="78"/>
  <c r="N64" i="78"/>
  <c r="N96" i="78"/>
  <c r="N41" i="78"/>
  <c r="N40" i="78"/>
  <c r="N35" i="78"/>
  <c r="N37" i="78" s="1"/>
  <c r="N34" i="78"/>
  <c r="N25" i="78"/>
  <c r="N20" i="78"/>
  <c r="N19" i="78"/>
  <c r="N18" i="78"/>
  <c r="N51" i="78" s="1"/>
  <c r="N17" i="78"/>
  <c r="N16" i="78"/>
  <c r="N12" i="78"/>
  <c r="N10" i="78"/>
  <c r="N45" i="78" s="1"/>
  <c r="L14" i="76"/>
  <c r="L27" i="76"/>
  <c r="L19" i="76"/>
  <c r="K19" i="76"/>
  <c r="N106" i="78"/>
  <c r="N104" i="78"/>
  <c r="N107" i="78"/>
  <c r="N56" i="78"/>
  <c r="N46" i="78"/>
  <c r="K14" i="76"/>
  <c r="M19" i="76"/>
  <c r="N19" i="76"/>
  <c r="J19" i="76"/>
  <c r="E57" i="64"/>
  <c r="N48" i="64"/>
  <c r="Q21" i="62"/>
  <c r="Q36" i="61"/>
  <c r="O53" i="59"/>
  <c r="Q73" i="57"/>
  <c r="Q103" i="57"/>
  <c r="Q93" i="57"/>
  <c r="Q61" i="57"/>
  <c r="Q92" i="57"/>
  <c r="Q40" i="57"/>
  <c r="Q39" i="57"/>
  <c r="Q20" i="57"/>
  <c r="Q52" i="57"/>
  <c r="M25" i="65"/>
  <c r="L73" i="57"/>
  <c r="L16" i="57"/>
  <c r="Q21" i="57"/>
  <c r="Q74" i="57"/>
  <c r="G19" i="59"/>
  <c r="G30" i="59"/>
  <c r="D19" i="59"/>
  <c r="Q104" i="57"/>
  <c r="Q76" i="57"/>
  <c r="Q106" i="57"/>
  <c r="Q53" i="57"/>
  <c r="Q23" i="57"/>
  <c r="Q55" i="57"/>
  <c r="K105" i="78"/>
  <c r="K104" i="78"/>
  <c r="K103" i="78"/>
  <c r="K102" i="78"/>
  <c r="M87" i="78"/>
  <c r="L87" i="78"/>
  <c r="J87" i="78"/>
  <c r="I87" i="78"/>
  <c r="H87" i="78"/>
  <c r="F87" i="78"/>
  <c r="E87" i="78"/>
  <c r="M86" i="78"/>
  <c r="L86" i="78"/>
  <c r="J86" i="78"/>
  <c r="I86" i="78"/>
  <c r="H86" i="78"/>
  <c r="F86" i="78"/>
  <c r="E86" i="78"/>
  <c r="E81" i="78"/>
  <c r="E79" i="78"/>
  <c r="M76" i="78"/>
  <c r="L76" i="78"/>
  <c r="J76" i="78"/>
  <c r="I76" i="78"/>
  <c r="H76" i="78"/>
  <c r="F76" i="78"/>
  <c r="F107" i="78" s="1"/>
  <c r="E76" i="78"/>
  <c r="M75" i="78"/>
  <c r="L75" i="78"/>
  <c r="J75" i="78"/>
  <c r="J106" i="78" s="1"/>
  <c r="I75" i="78"/>
  <c r="H75" i="78"/>
  <c r="F75" i="78"/>
  <c r="E75" i="78"/>
  <c r="E106" i="78" s="1"/>
  <c r="M74" i="78"/>
  <c r="L74" i="78"/>
  <c r="J74" i="78"/>
  <c r="I74" i="78"/>
  <c r="H74" i="78"/>
  <c r="F74" i="78"/>
  <c r="E74" i="78"/>
  <c r="M73" i="78"/>
  <c r="M104" i="78" s="1"/>
  <c r="L73" i="78"/>
  <c r="J73" i="78"/>
  <c r="I73" i="78"/>
  <c r="H73" i="78"/>
  <c r="H104" i="78" s="1"/>
  <c r="F73" i="78"/>
  <c r="E73" i="78"/>
  <c r="M72" i="78"/>
  <c r="L72" i="78"/>
  <c r="L103" i="78" s="1"/>
  <c r="J72" i="78"/>
  <c r="I72" i="78"/>
  <c r="H72" i="78"/>
  <c r="F72" i="78"/>
  <c r="F103" i="78" s="1"/>
  <c r="E72" i="78"/>
  <c r="M71" i="78"/>
  <c r="L71" i="78"/>
  <c r="J71" i="78"/>
  <c r="I71" i="78"/>
  <c r="H71" i="78"/>
  <c r="F71" i="78"/>
  <c r="E71" i="78"/>
  <c r="E102" i="78" s="1"/>
  <c r="M70" i="78"/>
  <c r="L70" i="78"/>
  <c r="J70" i="78"/>
  <c r="I70" i="78"/>
  <c r="I101" i="78" s="1"/>
  <c r="H70" i="78"/>
  <c r="F70" i="78"/>
  <c r="E70" i="78"/>
  <c r="M68" i="78"/>
  <c r="M102" i="78" s="1"/>
  <c r="L68" i="78"/>
  <c r="L105" i="78" s="1"/>
  <c r="J68" i="78"/>
  <c r="I68" i="78"/>
  <c r="I103" i="78" s="1"/>
  <c r="H68" i="78"/>
  <c r="H106" i="78" s="1"/>
  <c r="G68" i="78"/>
  <c r="G107" i="78" s="1"/>
  <c r="F68" i="78"/>
  <c r="F105" i="78" s="1"/>
  <c r="E68" i="78"/>
  <c r="M35" i="78"/>
  <c r="M37" i="78" s="1"/>
  <c r="L35" i="78"/>
  <c r="J35" i="78"/>
  <c r="J37" i="78" s="1"/>
  <c r="I35" i="78"/>
  <c r="H35" i="78"/>
  <c r="H37" i="78" s="1"/>
  <c r="G37" i="78"/>
  <c r="F35" i="78"/>
  <c r="F37" i="78" s="1"/>
  <c r="E35" i="78"/>
  <c r="E37" i="78" s="1"/>
  <c r="M34" i="78"/>
  <c r="L34" i="78"/>
  <c r="J34" i="78"/>
  <c r="I34" i="78"/>
  <c r="H34" i="78"/>
  <c r="F34" i="78"/>
  <c r="E34" i="78"/>
  <c r="M31" i="78"/>
  <c r="L31" i="78"/>
  <c r="J31" i="78"/>
  <c r="I31" i="78"/>
  <c r="H31" i="78"/>
  <c r="F31" i="78"/>
  <c r="E31" i="78"/>
  <c r="M30" i="78"/>
  <c r="L30" i="78"/>
  <c r="J30" i="78"/>
  <c r="I30" i="78"/>
  <c r="H30" i="78"/>
  <c r="F30" i="78"/>
  <c r="E30" i="78"/>
  <c r="M25" i="78"/>
  <c r="L25" i="78"/>
  <c r="J25" i="78"/>
  <c r="I25" i="78"/>
  <c r="H25" i="78"/>
  <c r="F25" i="78"/>
  <c r="F58" i="78" s="1"/>
  <c r="E25" i="78"/>
  <c r="M23" i="78"/>
  <c r="L23" i="78"/>
  <c r="J23" i="78"/>
  <c r="I23" i="78"/>
  <c r="H23" i="78"/>
  <c r="F23" i="78"/>
  <c r="E23" i="78"/>
  <c r="E56" i="78" s="1"/>
  <c r="M20" i="78"/>
  <c r="L20" i="78"/>
  <c r="J20" i="78"/>
  <c r="I20" i="78"/>
  <c r="I53" i="78" s="1"/>
  <c r="H20" i="78"/>
  <c r="F20" i="78"/>
  <c r="E20" i="78"/>
  <c r="M19" i="78"/>
  <c r="M52" i="78" s="1"/>
  <c r="L19" i="78"/>
  <c r="J19" i="78"/>
  <c r="I19" i="78"/>
  <c r="H19" i="78"/>
  <c r="F19" i="78"/>
  <c r="E19" i="78"/>
  <c r="M18" i="78"/>
  <c r="L18" i="78"/>
  <c r="J18" i="78"/>
  <c r="I18" i="78"/>
  <c r="H18" i="78"/>
  <c r="F18" i="78"/>
  <c r="F51" i="78" s="1"/>
  <c r="E18" i="78"/>
  <c r="M17" i="78"/>
  <c r="L17" i="78"/>
  <c r="J17" i="78"/>
  <c r="I17" i="78"/>
  <c r="H17" i="78"/>
  <c r="F17" i="78"/>
  <c r="E17" i="78"/>
  <c r="E50" i="78" s="1"/>
  <c r="M16" i="78"/>
  <c r="L16" i="78"/>
  <c r="J16" i="78"/>
  <c r="I16" i="78"/>
  <c r="I49" i="78" s="1"/>
  <c r="H16" i="78"/>
  <c r="F16" i="78"/>
  <c r="E16" i="78"/>
  <c r="M15" i="78"/>
  <c r="M48" i="78" s="1"/>
  <c r="L15" i="78"/>
  <c r="J15" i="78"/>
  <c r="I15" i="78"/>
  <c r="H15" i="78"/>
  <c r="F15" i="78"/>
  <c r="E15" i="78"/>
  <c r="M14" i="78"/>
  <c r="L14" i="78"/>
  <c r="J14" i="78"/>
  <c r="I14" i="78"/>
  <c r="H14" i="78"/>
  <c r="F14" i="78"/>
  <c r="F47" i="78" s="1"/>
  <c r="E14" i="78"/>
  <c r="M13" i="78"/>
  <c r="L13" i="78"/>
  <c r="J13" i="78"/>
  <c r="J46" i="78" s="1"/>
  <c r="I13" i="78"/>
  <c r="H13" i="78"/>
  <c r="F13" i="78"/>
  <c r="E13" i="78"/>
  <c r="E46" i="78" s="1"/>
  <c r="M12" i="78"/>
  <c r="L12" i="78"/>
  <c r="J12" i="78"/>
  <c r="I12" i="78"/>
  <c r="I45" i="78" s="1"/>
  <c r="H12" i="78"/>
  <c r="F12" i="78"/>
  <c r="E12" i="78"/>
  <c r="M10" i="78"/>
  <c r="M50" i="78" s="1"/>
  <c r="L10" i="78"/>
  <c r="L49" i="78" s="1"/>
  <c r="K49" i="78"/>
  <c r="J10" i="78"/>
  <c r="I10" i="78"/>
  <c r="I51" i="78" s="1"/>
  <c r="H10" i="78"/>
  <c r="H47" i="78" s="1"/>
  <c r="G49" i="78"/>
  <c r="F10" i="78"/>
  <c r="E10" i="78"/>
  <c r="E52" i="78" s="1"/>
  <c r="L98" i="78"/>
  <c r="K98" i="78"/>
  <c r="J98" i="78"/>
  <c r="I98" i="78"/>
  <c r="H98" i="78"/>
  <c r="G98" i="78"/>
  <c r="F98" i="78"/>
  <c r="E98" i="78"/>
  <c r="M66" i="78"/>
  <c r="M98" i="78"/>
  <c r="M65" i="78"/>
  <c r="M97" i="78"/>
  <c r="M64" i="78"/>
  <c r="M96" i="78"/>
  <c r="L64" i="78"/>
  <c r="L96" i="78"/>
  <c r="K64" i="78"/>
  <c r="K96" i="78"/>
  <c r="J64" i="78"/>
  <c r="J96" i="78"/>
  <c r="I64" i="78"/>
  <c r="I96" i="78"/>
  <c r="H64" i="78"/>
  <c r="H96" i="78"/>
  <c r="G64" i="78"/>
  <c r="G96" i="78"/>
  <c r="F64" i="78"/>
  <c r="F96" i="78"/>
  <c r="E64" i="78"/>
  <c r="E96" i="78"/>
  <c r="M41" i="78"/>
  <c r="L41" i="78"/>
  <c r="K41" i="78"/>
  <c r="J41" i="78"/>
  <c r="I41" i="78"/>
  <c r="H41" i="78"/>
  <c r="G41" i="78"/>
  <c r="F41" i="78"/>
  <c r="E41" i="78"/>
  <c r="M40" i="78"/>
  <c r="L40" i="78"/>
  <c r="K40" i="78"/>
  <c r="J40" i="78"/>
  <c r="I40" i="78"/>
  <c r="H40" i="78"/>
  <c r="G40" i="78"/>
  <c r="F40" i="78"/>
  <c r="E40" i="78"/>
  <c r="Q25" i="57"/>
  <c r="Q57" i="57"/>
  <c r="Q78" i="57"/>
  <c r="Q108" i="57"/>
  <c r="M46" i="78"/>
  <c r="H48" i="78"/>
  <c r="L102" i="78"/>
  <c r="M103" i="78"/>
  <c r="E105" i="78"/>
  <c r="F46" i="78"/>
  <c r="I48" i="78"/>
  <c r="J49" i="78"/>
  <c r="J102" i="78"/>
  <c r="E104" i="78"/>
  <c r="J104" i="78"/>
  <c r="G46" i="78"/>
  <c r="K46" i="78"/>
  <c r="G48" i="78"/>
  <c r="K48" i="78"/>
  <c r="G103" i="78"/>
  <c r="G47" i="78"/>
  <c r="K47" i="78"/>
  <c r="H45" i="78"/>
  <c r="G51" i="78"/>
  <c r="K51" i="78"/>
  <c r="J52" i="78"/>
  <c r="G53" i="78"/>
  <c r="K53" i="78"/>
  <c r="G58" i="78"/>
  <c r="I58" i="78"/>
  <c r="K58" i="78"/>
  <c r="F101" i="78"/>
  <c r="J101" i="78"/>
  <c r="F106" i="78"/>
  <c r="E107" i="78"/>
  <c r="I107" i="78"/>
  <c r="K107" i="78"/>
  <c r="G45" i="78"/>
  <c r="K45" i="78"/>
  <c r="G50" i="78"/>
  <c r="K50" i="78"/>
  <c r="J51" i="78"/>
  <c r="G52" i="78"/>
  <c r="K52" i="78"/>
  <c r="L53" i="78"/>
  <c r="G56" i="78"/>
  <c r="K56" i="78"/>
  <c r="J58" i="78"/>
  <c r="E101" i="78"/>
  <c r="K101" i="78"/>
  <c r="M101" i="78"/>
  <c r="G106" i="78"/>
  <c r="K106" i="78"/>
  <c r="M106" i="78"/>
  <c r="J107" i="78"/>
  <c r="E110" i="78"/>
  <c r="G21" i="78"/>
  <c r="G54" i="78"/>
  <c r="K21" i="78"/>
  <c r="K22" i="78" s="1"/>
  <c r="K54" i="78"/>
  <c r="G77" i="78"/>
  <c r="G108" i="78"/>
  <c r="K77" i="78"/>
  <c r="K108" i="78"/>
  <c r="G22" i="78"/>
  <c r="G24" i="78"/>
  <c r="K78" i="78"/>
  <c r="G78" i="78"/>
  <c r="G80" i="78" s="1"/>
  <c r="G109" i="78"/>
  <c r="K109" i="78"/>
  <c r="G55" i="78"/>
  <c r="G57" i="78"/>
  <c r="G26" i="78"/>
  <c r="G59" i="78"/>
  <c r="F18" i="62"/>
  <c r="F20" i="62"/>
  <c r="F19" i="62"/>
  <c r="F19" i="59"/>
  <c r="F30" i="59"/>
  <c r="E19" i="59"/>
  <c r="N81" i="78"/>
  <c r="N112" i="78" s="1"/>
  <c r="I77" i="57"/>
  <c r="H81" i="78"/>
  <c r="H112" i="78" s="1"/>
  <c r="F81" i="78"/>
  <c r="F112" i="78" s="1"/>
  <c r="I81" i="78"/>
  <c r="I112" i="78" s="1"/>
  <c r="G112" i="78"/>
  <c r="L81" i="78"/>
  <c r="J81" i="78"/>
  <c r="J112" i="78" s="1"/>
  <c r="M81" i="78"/>
  <c r="K112" i="78"/>
  <c r="I79" i="78"/>
  <c r="I110" i="78" s="1"/>
  <c r="H79" i="78"/>
  <c r="F79" i="78"/>
  <c r="F110" i="78" s="1"/>
  <c r="M79" i="78"/>
  <c r="K80" i="78"/>
  <c r="K82" i="78" s="1"/>
  <c r="K113" i="78" s="1"/>
  <c r="L79" i="78"/>
  <c r="J79" i="78"/>
  <c r="P46" i="57"/>
  <c r="O46" i="57"/>
  <c r="N46" i="57"/>
  <c r="M46" i="57"/>
  <c r="L46" i="57"/>
  <c r="K46" i="57"/>
  <c r="J46" i="57"/>
  <c r="I46" i="57"/>
  <c r="H46" i="57"/>
  <c r="G46" i="57"/>
  <c r="F46" i="57"/>
  <c r="E46" i="57"/>
  <c r="P45" i="57"/>
  <c r="O45" i="57"/>
  <c r="N45" i="57"/>
  <c r="M45" i="57"/>
  <c r="L45" i="57"/>
  <c r="K45" i="57"/>
  <c r="J45" i="57"/>
  <c r="I45" i="57"/>
  <c r="H45" i="57"/>
  <c r="G45" i="57"/>
  <c r="F45" i="57"/>
  <c r="E45" i="57"/>
  <c r="P44" i="57"/>
  <c r="O44" i="57"/>
  <c r="N44" i="57"/>
  <c r="M44" i="57"/>
  <c r="L44" i="57"/>
  <c r="K44" i="57"/>
  <c r="J44" i="57"/>
  <c r="I44" i="57"/>
  <c r="H44" i="57"/>
  <c r="G44" i="57"/>
  <c r="F44" i="57"/>
  <c r="E44" i="57"/>
  <c r="P100" i="57"/>
  <c r="O100" i="57"/>
  <c r="N100" i="57"/>
  <c r="M100" i="57"/>
  <c r="L100" i="57"/>
  <c r="K100" i="57"/>
  <c r="J100" i="57"/>
  <c r="I100" i="57"/>
  <c r="H100" i="57"/>
  <c r="G100" i="57"/>
  <c r="F100" i="57"/>
  <c r="E100" i="57"/>
  <c r="P99" i="57"/>
  <c r="O99" i="57"/>
  <c r="N99" i="57"/>
  <c r="M99" i="57"/>
  <c r="L99" i="57"/>
  <c r="K99" i="57"/>
  <c r="J99" i="57"/>
  <c r="I99" i="57"/>
  <c r="H99" i="57"/>
  <c r="G99" i="57"/>
  <c r="F99" i="57"/>
  <c r="E99" i="57"/>
  <c r="P98" i="57"/>
  <c r="O98" i="57"/>
  <c r="N98" i="57"/>
  <c r="M98" i="57"/>
  <c r="L98" i="57"/>
  <c r="K98" i="57"/>
  <c r="J98" i="57"/>
  <c r="I98" i="57"/>
  <c r="H98" i="57"/>
  <c r="G98" i="57"/>
  <c r="F98" i="57"/>
  <c r="E98" i="57"/>
  <c r="P97" i="57"/>
  <c r="O97" i="57"/>
  <c r="N97" i="57"/>
  <c r="M97" i="57"/>
  <c r="L97" i="57"/>
  <c r="K97" i="57"/>
  <c r="J97" i="57"/>
  <c r="I97" i="57"/>
  <c r="H97" i="57"/>
  <c r="G97" i="57"/>
  <c r="F97" i="57"/>
  <c r="E97" i="57"/>
  <c r="E96" i="57"/>
  <c r="L112" i="78"/>
  <c r="J110" i="78"/>
  <c r="K110" i="78"/>
  <c r="G110" i="78"/>
  <c r="F39" i="64"/>
  <c r="B33" i="64"/>
  <c r="M30" i="64"/>
  <c r="L30" i="64"/>
  <c r="K30" i="64"/>
  <c r="J30" i="64"/>
  <c r="I30" i="64"/>
  <c r="H30" i="64"/>
  <c r="G30" i="64"/>
  <c r="F30" i="64"/>
  <c r="E30" i="64"/>
  <c r="N29" i="64"/>
  <c r="E38" i="64"/>
  <c r="N28" i="64"/>
  <c r="E37" i="64"/>
  <c r="N27" i="64"/>
  <c r="E36" i="64"/>
  <c r="N26" i="64"/>
  <c r="N25" i="64"/>
  <c r="E34" i="64"/>
  <c r="H17" i="76"/>
  <c r="I18" i="76"/>
  <c r="I17" i="76"/>
  <c r="H18" i="76"/>
  <c r="I24" i="76"/>
  <c r="I27" i="76"/>
  <c r="I11" i="76"/>
  <c r="I14" i="76"/>
  <c r="E39" i="64"/>
  <c r="K111" i="78"/>
  <c r="I19" i="76"/>
  <c r="N30" i="64"/>
  <c r="P73" i="57"/>
  <c r="P107" i="57"/>
  <c r="P105" i="57"/>
  <c r="P102" i="57"/>
  <c r="P101" i="57"/>
  <c r="P96" i="57"/>
  <c r="P56" i="57"/>
  <c r="P54" i="57"/>
  <c r="P51" i="57"/>
  <c r="P50" i="57"/>
  <c r="P49" i="57"/>
  <c r="P48" i="57"/>
  <c r="P47" i="57"/>
  <c r="H11" i="76"/>
  <c r="H24" i="76"/>
  <c r="H27" i="76"/>
  <c r="H19" i="76"/>
  <c r="O73" i="57"/>
  <c r="N73" i="57"/>
  <c r="N74" i="57"/>
  <c r="N76" i="57"/>
  <c r="M73" i="57"/>
  <c r="M74" i="57"/>
  <c r="M76" i="57"/>
  <c r="L74" i="57"/>
  <c r="L76" i="57"/>
  <c r="K73" i="57"/>
  <c r="K74" i="57"/>
  <c r="K76" i="57"/>
  <c r="J73" i="57"/>
  <c r="J74" i="57"/>
  <c r="J76" i="57"/>
  <c r="I73" i="57"/>
  <c r="I74" i="57"/>
  <c r="I76" i="57"/>
  <c r="H73" i="57"/>
  <c r="H74" i="57"/>
  <c r="H76" i="57"/>
  <c r="G73" i="57"/>
  <c r="G74" i="57"/>
  <c r="G76" i="57"/>
  <c r="F73" i="57"/>
  <c r="F74" i="57"/>
  <c r="F76" i="57"/>
  <c r="E73" i="57"/>
  <c r="E76" i="57"/>
  <c r="O20" i="57"/>
  <c r="N20" i="57"/>
  <c r="N21" i="57"/>
  <c r="N23" i="57"/>
  <c r="M20" i="57"/>
  <c r="M21" i="57"/>
  <c r="M23" i="57"/>
  <c r="L20" i="57"/>
  <c r="L21" i="57"/>
  <c r="L23" i="57"/>
  <c r="K20" i="57"/>
  <c r="K21" i="57"/>
  <c r="K23" i="57"/>
  <c r="J20" i="57"/>
  <c r="J21" i="57"/>
  <c r="J23" i="57"/>
  <c r="I20" i="57"/>
  <c r="I21" i="57"/>
  <c r="I23" i="57"/>
  <c r="H20" i="57"/>
  <c r="H21" i="57"/>
  <c r="H23" i="57"/>
  <c r="G20" i="57"/>
  <c r="G21" i="57"/>
  <c r="G23" i="57"/>
  <c r="F20" i="57"/>
  <c r="F21" i="57"/>
  <c r="F23" i="57"/>
  <c r="E21" i="57"/>
  <c r="F81" i="72"/>
  <c r="B74" i="72"/>
  <c r="M71" i="72"/>
  <c r="N71" i="72"/>
  <c r="L71" i="72"/>
  <c r="K71" i="72"/>
  <c r="J71" i="72"/>
  <c r="H71" i="72"/>
  <c r="G71" i="72"/>
  <c r="I71" i="72"/>
  <c r="F71" i="72"/>
  <c r="E71" i="72"/>
  <c r="O70" i="72"/>
  <c r="E80" i="72"/>
  <c r="O69" i="72"/>
  <c r="E79" i="72"/>
  <c r="O68" i="72"/>
  <c r="E78" i="72"/>
  <c r="O67" i="72"/>
  <c r="E77" i="72"/>
  <c r="O66" i="72"/>
  <c r="E76" i="72"/>
  <c r="O65" i="72"/>
  <c r="E75" i="72"/>
  <c r="F75" i="65"/>
  <c r="B68" i="65"/>
  <c r="M65" i="65"/>
  <c r="L65" i="65"/>
  <c r="K65" i="65"/>
  <c r="J65" i="65"/>
  <c r="I65" i="65"/>
  <c r="G65" i="65"/>
  <c r="F65" i="65"/>
  <c r="E65" i="65"/>
  <c r="N64" i="65"/>
  <c r="E74" i="65"/>
  <c r="N63" i="65"/>
  <c r="E73" i="65"/>
  <c r="N62" i="65"/>
  <c r="E72" i="65"/>
  <c r="H61" i="65"/>
  <c r="H65" i="65"/>
  <c r="N60" i="65"/>
  <c r="E70" i="65"/>
  <c r="N59" i="65"/>
  <c r="E69" i="65"/>
  <c r="P12" i="62"/>
  <c r="O12" i="62"/>
  <c r="N12" i="62"/>
  <c r="M12" i="62"/>
  <c r="L12" i="62"/>
  <c r="K12" i="62"/>
  <c r="J12" i="62"/>
  <c r="I12" i="62"/>
  <c r="H12" i="62"/>
  <c r="G12" i="62"/>
  <c r="G15" i="62"/>
  <c r="F12" i="62"/>
  <c r="E12" i="62"/>
  <c r="O96" i="57"/>
  <c r="N96" i="57"/>
  <c r="M96" i="57"/>
  <c r="L96" i="57"/>
  <c r="K96" i="57"/>
  <c r="J96" i="57"/>
  <c r="I96" i="57"/>
  <c r="H96" i="57"/>
  <c r="G96" i="57"/>
  <c r="F96" i="57"/>
  <c r="O43" i="57"/>
  <c r="N43" i="57"/>
  <c r="M43" i="57"/>
  <c r="L43" i="57"/>
  <c r="K43" i="57"/>
  <c r="J43" i="57"/>
  <c r="I43" i="57"/>
  <c r="H43" i="57"/>
  <c r="G43" i="57"/>
  <c r="F43" i="57"/>
  <c r="P23" i="62"/>
  <c r="O23" i="62"/>
  <c r="N23" i="62"/>
  <c r="M23" i="62"/>
  <c r="L23" i="62"/>
  <c r="K23" i="62"/>
  <c r="J23" i="62"/>
  <c r="I23" i="62"/>
  <c r="H23" i="62"/>
  <c r="O74" i="57"/>
  <c r="O76" i="57"/>
  <c r="O21" i="57"/>
  <c r="O23" i="57"/>
  <c r="H14" i="76"/>
  <c r="F15" i="62"/>
  <c r="P20" i="57"/>
  <c r="P52" i="57"/>
  <c r="P74" i="57"/>
  <c r="P76" i="57"/>
  <c r="P43" i="57"/>
  <c r="P103" i="57"/>
  <c r="E81" i="72"/>
  <c r="O71" i="72"/>
  <c r="N61" i="65"/>
  <c r="E71" i="65"/>
  <c r="E75" i="65"/>
  <c r="P21" i="57"/>
  <c r="P23" i="57"/>
  <c r="P106" i="57"/>
  <c r="P104" i="57"/>
  <c r="N65" i="65"/>
  <c r="F21" i="65"/>
  <c r="B15" i="65"/>
  <c r="L12" i="65"/>
  <c r="K12" i="65"/>
  <c r="J12" i="65"/>
  <c r="I12" i="65"/>
  <c r="H12" i="65"/>
  <c r="G12" i="65"/>
  <c r="F12" i="65"/>
  <c r="E12" i="65"/>
  <c r="M11" i="65"/>
  <c r="E20" i="65"/>
  <c r="M10" i="65"/>
  <c r="E19" i="65"/>
  <c r="M9" i="65"/>
  <c r="E18" i="65"/>
  <c r="M8" i="65"/>
  <c r="E17" i="65"/>
  <c r="M7" i="65"/>
  <c r="E16" i="65"/>
  <c r="F21" i="64"/>
  <c r="B15" i="64"/>
  <c r="M12" i="64"/>
  <c r="L12" i="64"/>
  <c r="K12" i="64"/>
  <c r="J12" i="64"/>
  <c r="I12" i="64"/>
  <c r="H12" i="64"/>
  <c r="G12" i="64"/>
  <c r="F12" i="64"/>
  <c r="E12" i="64"/>
  <c r="N11" i="64"/>
  <c r="E20" i="64"/>
  <c r="N10" i="64"/>
  <c r="E19" i="64"/>
  <c r="N9" i="64"/>
  <c r="E18" i="64"/>
  <c r="N8" i="64"/>
  <c r="E17" i="64"/>
  <c r="N7" i="64"/>
  <c r="E16" i="64"/>
  <c r="P78" i="57"/>
  <c r="P108" i="57"/>
  <c r="P53" i="57"/>
  <c r="P25" i="57"/>
  <c r="P57" i="57"/>
  <c r="E21" i="65"/>
  <c r="M12" i="65"/>
  <c r="E21" i="64"/>
  <c r="N12" i="64"/>
  <c r="P55" i="57"/>
  <c r="N12" i="61"/>
  <c r="N17" i="61"/>
  <c r="M12" i="61"/>
  <c r="M17" i="61"/>
  <c r="L12" i="61"/>
  <c r="K12" i="61"/>
  <c r="J12" i="61"/>
  <c r="J17" i="61"/>
  <c r="I12" i="61"/>
  <c r="I17" i="61"/>
  <c r="H12" i="61"/>
  <c r="G12" i="61"/>
  <c r="F12" i="61"/>
  <c r="F17" i="61"/>
  <c r="E17" i="61"/>
  <c r="P12" i="61"/>
  <c r="N23" i="61"/>
  <c r="N34" i="61"/>
  <c r="M23" i="61"/>
  <c r="M34" i="61"/>
  <c r="L23" i="61"/>
  <c r="K23" i="61"/>
  <c r="K34" i="61"/>
  <c r="J23" i="61"/>
  <c r="J34" i="61"/>
  <c r="I23" i="61"/>
  <c r="I34" i="61"/>
  <c r="H23" i="61"/>
  <c r="G23" i="61"/>
  <c r="G34" i="61"/>
  <c r="F23" i="61"/>
  <c r="F34" i="61"/>
  <c r="P23" i="61"/>
  <c r="O23" i="61"/>
  <c r="O12" i="61"/>
  <c r="P29" i="62"/>
  <c r="P20" i="62"/>
  <c r="P19" i="62"/>
  <c r="P18" i="62"/>
  <c r="P15" i="62"/>
  <c r="N29" i="62"/>
  <c r="M29" i="62"/>
  <c r="L29" i="62"/>
  <c r="K29" i="62"/>
  <c r="J29" i="62"/>
  <c r="I29" i="62"/>
  <c r="H29" i="62"/>
  <c r="N20" i="62"/>
  <c r="M20" i="62"/>
  <c r="L20" i="62"/>
  <c r="K20" i="62"/>
  <c r="J20" i="62"/>
  <c r="I20" i="62"/>
  <c r="H20" i="62"/>
  <c r="G20" i="62"/>
  <c r="N19" i="62"/>
  <c r="M19" i="62"/>
  <c r="L19" i="62"/>
  <c r="K19" i="62"/>
  <c r="J19" i="62"/>
  <c r="I19" i="62"/>
  <c r="H19" i="62"/>
  <c r="G19" i="62"/>
  <c r="N18" i="62"/>
  <c r="M18" i="62"/>
  <c r="M21" i="62"/>
  <c r="L18" i="62"/>
  <c r="L21" i="62"/>
  <c r="K18" i="62"/>
  <c r="K21" i="62"/>
  <c r="J18" i="62"/>
  <c r="I18" i="62"/>
  <c r="I21" i="62"/>
  <c r="H18" i="62"/>
  <c r="H21" i="62"/>
  <c r="G18" i="62"/>
  <c r="N15" i="62"/>
  <c r="M15" i="62"/>
  <c r="L15" i="62"/>
  <c r="K15" i="62"/>
  <c r="J15" i="62"/>
  <c r="I15" i="62"/>
  <c r="H15" i="62"/>
  <c r="O20" i="62"/>
  <c r="O19" i="62"/>
  <c r="O18" i="62"/>
  <c r="O29" i="62"/>
  <c r="O15" i="62"/>
  <c r="I36" i="61"/>
  <c r="O34" i="61"/>
  <c r="M36" i="61"/>
  <c r="K36" i="61"/>
  <c r="J21" i="62"/>
  <c r="N21" i="62"/>
  <c r="G21" i="62"/>
  <c r="G36" i="61"/>
  <c r="P36" i="61"/>
  <c r="P17" i="61"/>
  <c r="O17" i="61"/>
  <c r="G17" i="61"/>
  <c r="L17" i="61"/>
  <c r="K17" i="61"/>
  <c r="P21" i="62"/>
  <c r="H17" i="61"/>
  <c r="O21" i="62"/>
  <c r="O36" i="61"/>
  <c r="F36" i="61"/>
  <c r="H36" i="61"/>
  <c r="J36" i="61"/>
  <c r="L36" i="61"/>
  <c r="N36" i="61"/>
  <c r="H34" i="61"/>
  <c r="P34" i="61"/>
  <c r="L34" i="61"/>
  <c r="C51" i="59"/>
  <c r="C39" i="59"/>
  <c r="L51" i="59"/>
  <c r="K51" i="59"/>
  <c r="J51" i="59"/>
  <c r="I51" i="59"/>
  <c r="H51" i="59"/>
  <c r="G51" i="59"/>
  <c r="F51" i="59"/>
  <c r="E51" i="59"/>
  <c r="D51" i="59"/>
  <c r="N51" i="59"/>
  <c r="L39" i="59"/>
  <c r="L44" i="59"/>
  <c r="K39" i="59"/>
  <c r="K44" i="59"/>
  <c r="J39" i="59"/>
  <c r="J44" i="59"/>
  <c r="I39" i="59"/>
  <c r="I44" i="59"/>
  <c r="H39" i="59"/>
  <c r="H44" i="59"/>
  <c r="G39" i="59"/>
  <c r="G44" i="59"/>
  <c r="F39" i="59"/>
  <c r="F44" i="59"/>
  <c r="E39" i="59"/>
  <c r="E44" i="59"/>
  <c r="D39" i="59"/>
  <c r="D44" i="59"/>
  <c r="N39" i="59"/>
  <c r="N44" i="59"/>
  <c r="L19" i="59"/>
  <c r="L30" i="59"/>
  <c r="K19" i="59"/>
  <c r="K30" i="59"/>
  <c r="J19" i="59"/>
  <c r="J30" i="59"/>
  <c r="I19" i="59"/>
  <c r="I30" i="59"/>
  <c r="H19" i="59"/>
  <c r="H30" i="59"/>
  <c r="E30" i="59"/>
  <c r="D30" i="59"/>
  <c r="N19" i="59"/>
  <c r="N30" i="59"/>
  <c r="M51" i="59"/>
  <c r="M39" i="59"/>
  <c r="M44" i="59"/>
  <c r="M19" i="59"/>
  <c r="M30" i="59"/>
  <c r="F53" i="59"/>
  <c r="J53" i="59"/>
  <c r="G53" i="59"/>
  <c r="K53" i="59"/>
  <c r="D53" i="59"/>
  <c r="N53" i="59"/>
  <c r="M53" i="59"/>
  <c r="E53" i="59"/>
  <c r="I53" i="59"/>
  <c r="H53" i="59"/>
  <c r="L53" i="59"/>
  <c r="P62" i="57"/>
  <c r="O62" i="57"/>
  <c r="N62" i="57"/>
  <c r="M62" i="57"/>
  <c r="L62" i="57"/>
  <c r="K62" i="57"/>
  <c r="J62" i="57"/>
  <c r="I62" i="57"/>
  <c r="H62" i="57"/>
  <c r="G62" i="57"/>
  <c r="F62" i="57"/>
  <c r="P61" i="57"/>
  <c r="O61" i="57"/>
  <c r="N61" i="57"/>
  <c r="M61" i="57"/>
  <c r="L61" i="57"/>
  <c r="K61" i="57"/>
  <c r="J61" i="57"/>
  <c r="I61" i="57"/>
  <c r="H61" i="57"/>
  <c r="G61" i="57"/>
  <c r="F61" i="57"/>
  <c r="O107" i="57"/>
  <c r="N107" i="57"/>
  <c r="M107" i="57"/>
  <c r="L107" i="57"/>
  <c r="K107" i="57"/>
  <c r="J107" i="57"/>
  <c r="I107" i="57"/>
  <c r="H107" i="57"/>
  <c r="G107" i="57"/>
  <c r="F107" i="57"/>
  <c r="E107" i="57"/>
  <c r="O105" i="57"/>
  <c r="N105" i="57"/>
  <c r="M105" i="57"/>
  <c r="L105" i="57"/>
  <c r="K105" i="57"/>
  <c r="J105" i="57"/>
  <c r="I105" i="57"/>
  <c r="H105" i="57"/>
  <c r="G105" i="57"/>
  <c r="F105" i="57"/>
  <c r="E105" i="57"/>
  <c r="O102" i="57"/>
  <c r="N102" i="57"/>
  <c r="M102" i="57"/>
  <c r="L102" i="57"/>
  <c r="K102" i="57"/>
  <c r="J102" i="57"/>
  <c r="I102" i="57"/>
  <c r="H102" i="57"/>
  <c r="G102" i="57"/>
  <c r="F102" i="57"/>
  <c r="E102" i="57"/>
  <c r="O101" i="57"/>
  <c r="N101" i="57"/>
  <c r="M101" i="57"/>
  <c r="L101" i="57"/>
  <c r="K101" i="57"/>
  <c r="J101" i="57"/>
  <c r="I101" i="57"/>
  <c r="H101" i="57"/>
  <c r="G101" i="57"/>
  <c r="F101" i="57"/>
  <c r="E101" i="57"/>
  <c r="P93" i="57"/>
  <c r="O93" i="57"/>
  <c r="N93" i="57"/>
  <c r="M93" i="57"/>
  <c r="L93" i="57"/>
  <c r="K93" i="57"/>
  <c r="J93" i="57"/>
  <c r="I93" i="57"/>
  <c r="H93" i="57"/>
  <c r="G93" i="57"/>
  <c r="F93" i="57"/>
  <c r="E93" i="57"/>
  <c r="P92" i="57"/>
  <c r="O92" i="57"/>
  <c r="N92" i="57"/>
  <c r="M92" i="57"/>
  <c r="L92" i="57"/>
  <c r="K92" i="57"/>
  <c r="J92" i="57"/>
  <c r="I92" i="57"/>
  <c r="H92" i="57"/>
  <c r="G92" i="57"/>
  <c r="F92" i="57"/>
  <c r="O56" i="57"/>
  <c r="N56" i="57"/>
  <c r="M56" i="57"/>
  <c r="L56" i="57"/>
  <c r="K56" i="57"/>
  <c r="J56" i="57"/>
  <c r="I56" i="57"/>
  <c r="H56" i="57"/>
  <c r="G56" i="57"/>
  <c r="F56" i="57"/>
  <c r="O54" i="57"/>
  <c r="N54" i="57"/>
  <c r="M54" i="57"/>
  <c r="L54" i="57"/>
  <c r="K54" i="57"/>
  <c r="J54" i="57"/>
  <c r="I54" i="57"/>
  <c r="H54" i="57"/>
  <c r="G54" i="57"/>
  <c r="F54" i="57"/>
  <c r="O51" i="57"/>
  <c r="N51" i="57"/>
  <c r="M51" i="57"/>
  <c r="L51" i="57"/>
  <c r="K51" i="57"/>
  <c r="J51" i="57"/>
  <c r="I51" i="57"/>
  <c r="H51" i="57"/>
  <c r="G51" i="57"/>
  <c r="F51" i="57"/>
  <c r="O50" i="57"/>
  <c r="N50" i="57"/>
  <c r="M50" i="57"/>
  <c r="L50" i="57"/>
  <c r="K50" i="57"/>
  <c r="J50" i="57"/>
  <c r="I50" i="57"/>
  <c r="H50" i="57"/>
  <c r="G50" i="57"/>
  <c r="F50" i="57"/>
  <c r="O49" i="57"/>
  <c r="N49" i="57"/>
  <c r="M49" i="57"/>
  <c r="L49" i="57"/>
  <c r="K49" i="57"/>
  <c r="J49" i="57"/>
  <c r="I49" i="57"/>
  <c r="H49" i="57"/>
  <c r="G49" i="57"/>
  <c r="F49" i="57"/>
  <c r="O48" i="57"/>
  <c r="N48" i="57"/>
  <c r="M48" i="57"/>
  <c r="L48" i="57"/>
  <c r="K48" i="57"/>
  <c r="J48" i="57"/>
  <c r="I48" i="57"/>
  <c r="H48" i="57"/>
  <c r="G48" i="57"/>
  <c r="F48" i="57"/>
  <c r="O47" i="57"/>
  <c r="N47" i="57"/>
  <c r="M47" i="57"/>
  <c r="L47" i="57"/>
  <c r="K47" i="57"/>
  <c r="J47" i="57"/>
  <c r="I47" i="57"/>
  <c r="H47" i="57"/>
  <c r="G47" i="57"/>
  <c r="F47" i="57"/>
  <c r="E56" i="57"/>
  <c r="E54" i="57"/>
  <c r="E51" i="57"/>
  <c r="E50" i="57"/>
  <c r="E49" i="57"/>
  <c r="E48" i="57"/>
  <c r="E47" i="57"/>
  <c r="P40" i="57"/>
  <c r="O40" i="57"/>
  <c r="N40" i="57"/>
  <c r="M40" i="57"/>
  <c r="L40" i="57"/>
  <c r="K40" i="57"/>
  <c r="J40" i="57"/>
  <c r="I40" i="57"/>
  <c r="H40" i="57"/>
  <c r="G40" i="57"/>
  <c r="F40" i="57"/>
  <c r="P39" i="57"/>
  <c r="O39" i="57"/>
  <c r="N39" i="57"/>
  <c r="M39" i="57"/>
  <c r="L39" i="57"/>
  <c r="K39" i="57"/>
  <c r="J39" i="57"/>
  <c r="I39" i="57"/>
  <c r="H39" i="57"/>
  <c r="G39" i="57"/>
  <c r="F39" i="57"/>
  <c r="E40" i="57"/>
  <c r="F103" i="57"/>
  <c r="H103" i="57"/>
  <c r="J103" i="57"/>
  <c r="L103" i="57"/>
  <c r="N103" i="57"/>
  <c r="E103" i="57"/>
  <c r="G103" i="57"/>
  <c r="I103" i="57"/>
  <c r="K103" i="57"/>
  <c r="M103" i="57"/>
  <c r="O103" i="57"/>
  <c r="F104" i="57"/>
  <c r="H104" i="57"/>
  <c r="J104" i="57"/>
  <c r="L104" i="57"/>
  <c r="N104" i="57"/>
  <c r="E104" i="57"/>
  <c r="G104" i="57"/>
  <c r="I104" i="57"/>
  <c r="K104" i="57"/>
  <c r="M104" i="57"/>
  <c r="O104" i="57"/>
  <c r="F52" i="57"/>
  <c r="F53" i="57"/>
  <c r="H52" i="57"/>
  <c r="J52" i="57"/>
  <c r="J53" i="57"/>
  <c r="L52" i="57"/>
  <c r="N52" i="57"/>
  <c r="N53" i="57"/>
  <c r="E52" i="57"/>
  <c r="G52" i="57"/>
  <c r="I52" i="57"/>
  <c r="I53" i="57"/>
  <c r="K52" i="57"/>
  <c r="K53" i="57"/>
  <c r="M52" i="57"/>
  <c r="O52" i="57"/>
  <c r="O53" i="57"/>
  <c r="M106" i="57"/>
  <c r="I106" i="57"/>
  <c r="E106" i="57"/>
  <c r="N106" i="57"/>
  <c r="J106" i="57"/>
  <c r="F106" i="57"/>
  <c r="K106" i="57"/>
  <c r="G106" i="57"/>
  <c r="L106" i="57"/>
  <c r="H106" i="57"/>
  <c r="O106" i="57"/>
  <c r="K25" i="57"/>
  <c r="J25" i="57"/>
  <c r="E53" i="57"/>
  <c r="O25" i="57"/>
  <c r="O55" i="57"/>
  <c r="I25" i="57"/>
  <c r="I55" i="57"/>
  <c r="N25" i="57"/>
  <c r="N55" i="57"/>
  <c r="F25" i="57"/>
  <c r="F55" i="57"/>
  <c r="M53" i="57"/>
  <c r="H53" i="57"/>
  <c r="L53" i="57"/>
  <c r="G53" i="57"/>
  <c r="H78" i="57"/>
  <c r="H108" i="57"/>
  <c r="L78" i="57"/>
  <c r="L108" i="57"/>
  <c r="G78" i="57"/>
  <c r="G108" i="57"/>
  <c r="K78" i="57"/>
  <c r="K108" i="57"/>
  <c r="O78" i="57"/>
  <c r="F78" i="57"/>
  <c r="F108" i="57"/>
  <c r="J78" i="57"/>
  <c r="J108" i="57"/>
  <c r="N78" i="57"/>
  <c r="N108" i="57"/>
  <c r="E108" i="57"/>
  <c r="I78" i="57"/>
  <c r="I108" i="57"/>
  <c r="M78" i="57"/>
  <c r="M108" i="57"/>
  <c r="O108" i="57"/>
  <c r="J55" i="57"/>
  <c r="K55" i="57"/>
  <c r="F57" i="57"/>
  <c r="J57" i="57"/>
  <c r="N57" i="57"/>
  <c r="I57" i="57"/>
  <c r="K57" i="57"/>
  <c r="O57" i="57"/>
  <c r="L25" i="57"/>
  <c r="L55" i="57"/>
  <c r="H25" i="57"/>
  <c r="H55" i="57"/>
  <c r="E25" i="57"/>
  <c r="E55" i="57"/>
  <c r="G25" i="57"/>
  <c r="G55" i="57"/>
  <c r="M25" i="57"/>
  <c r="M55" i="57"/>
  <c r="G57" i="57"/>
  <c r="H57" i="57"/>
  <c r="M57" i="57"/>
  <c r="E57" i="57"/>
  <c r="L57" i="57"/>
  <c r="AD23" i="85"/>
  <c r="AE23" i="85"/>
  <c r="AD57" i="78" l="1"/>
  <c r="M39" i="88"/>
  <c r="I39" i="88"/>
  <c r="F39" i="88"/>
  <c r="J39" i="88"/>
  <c r="P39" i="88"/>
  <c r="W39" i="88"/>
  <c r="AB39" i="88"/>
  <c r="Q39" i="88"/>
  <c r="H39" i="88"/>
  <c r="O39" i="88"/>
  <c r="Z39" i="88"/>
  <c r="AE39" i="88"/>
  <c r="Y39" i="88"/>
  <c r="U39" i="88"/>
  <c r="S39" i="88"/>
  <c r="AC39" i="88"/>
  <c r="AD39" i="88"/>
  <c r="L39" i="88"/>
  <c r="X39" i="88"/>
  <c r="G39" i="88"/>
  <c r="R39" i="88"/>
  <c r="V39" i="88"/>
  <c r="AF39" i="88"/>
  <c r="T39" i="88"/>
  <c r="AA39" i="88"/>
  <c r="N39" i="88"/>
  <c r="K39" i="88"/>
  <c r="AD59" i="78"/>
  <c r="E19" i="93"/>
  <c r="M11" i="93"/>
  <c r="AD111" i="78"/>
  <c r="AD113" i="78"/>
  <c r="P21" i="78"/>
  <c r="P54" i="78" s="1"/>
  <c r="I52" i="78"/>
  <c r="E45" i="78"/>
  <c r="H102" i="78"/>
  <c r="E48" i="78"/>
  <c r="E21" i="78"/>
  <c r="E54" i="78" s="1"/>
  <c r="F21" i="78"/>
  <c r="F54" i="78" s="1"/>
  <c r="L46" i="78"/>
  <c r="M47" i="78"/>
  <c r="E49" i="78"/>
  <c r="L50" i="78"/>
  <c r="H51" i="78"/>
  <c r="M51" i="78"/>
  <c r="E53" i="78"/>
  <c r="J53" i="78"/>
  <c r="L56" i="78"/>
  <c r="H58" i="78"/>
  <c r="M58" i="78"/>
  <c r="I37" i="78"/>
  <c r="E77" i="78"/>
  <c r="E108" i="78" s="1"/>
  <c r="J77" i="78"/>
  <c r="F102" i="78"/>
  <c r="L77" i="78"/>
  <c r="L108" i="78" s="1"/>
  <c r="H103" i="78"/>
  <c r="I104" i="78"/>
  <c r="J105" i="78"/>
  <c r="L106" i="78"/>
  <c r="H107" i="78"/>
  <c r="N53" i="78"/>
  <c r="N58" i="78"/>
  <c r="N21" i="78"/>
  <c r="N22" i="78" s="1"/>
  <c r="N52" i="78"/>
  <c r="P77" i="78"/>
  <c r="P108" i="78" s="1"/>
  <c r="P49" i="78"/>
  <c r="P37" i="78"/>
  <c r="R77" i="78"/>
  <c r="R108" i="78" s="1"/>
  <c r="R104" i="78"/>
  <c r="V105" i="78"/>
  <c r="T110" i="78"/>
  <c r="T107" i="78"/>
  <c r="U47" i="78"/>
  <c r="U103" i="78"/>
  <c r="V107" i="78"/>
  <c r="V112" i="78"/>
  <c r="X58" i="78"/>
  <c r="X77" i="78"/>
  <c r="X108" i="78" s="1"/>
  <c r="X106" i="78"/>
  <c r="Y52" i="78"/>
  <c r="Y106" i="78"/>
  <c r="R93" i="78"/>
  <c r="AB50" i="78"/>
  <c r="AB56" i="78"/>
  <c r="AC108" i="78"/>
  <c r="M112" i="78"/>
  <c r="M56" i="78"/>
  <c r="M107" i="78"/>
  <c r="I47" i="78"/>
  <c r="N50" i="78"/>
  <c r="P46" i="78"/>
  <c r="P53" i="78"/>
  <c r="P107" i="78"/>
  <c r="Q101" i="78"/>
  <c r="T105" i="78"/>
  <c r="V103" i="78"/>
  <c r="V58" i="78"/>
  <c r="F93" i="78"/>
  <c r="L93" i="78"/>
  <c r="AC53" i="78"/>
  <c r="AC49" i="78"/>
  <c r="M110" i="78"/>
  <c r="H110" i="78"/>
  <c r="H22" i="78"/>
  <c r="H24" i="78" s="1"/>
  <c r="H21" i="78"/>
  <c r="H54" i="78" s="1"/>
  <c r="M21" i="78"/>
  <c r="M54" i="78" s="1"/>
  <c r="I46" i="78"/>
  <c r="E47" i="78"/>
  <c r="J47" i="78"/>
  <c r="F48" i="78"/>
  <c r="M49" i="78"/>
  <c r="I50" i="78"/>
  <c r="E51" i="78"/>
  <c r="F52" i="78"/>
  <c r="M53" i="78"/>
  <c r="I56" i="78"/>
  <c r="E58" i="78"/>
  <c r="L37" i="78"/>
  <c r="H77" i="78"/>
  <c r="M77" i="78"/>
  <c r="M108" i="78" s="1"/>
  <c r="I102" i="78"/>
  <c r="E103" i="78"/>
  <c r="J103" i="78"/>
  <c r="F104" i="78"/>
  <c r="H105" i="78"/>
  <c r="M105" i="78"/>
  <c r="I106" i="78"/>
  <c r="E112" i="78"/>
  <c r="N49" i="78"/>
  <c r="N47" i="78"/>
  <c r="N77" i="78"/>
  <c r="N108" i="78" s="1"/>
  <c r="P47" i="78"/>
  <c r="Q49" i="78"/>
  <c r="T104" i="78"/>
  <c r="T112" i="78"/>
  <c r="V104" i="78"/>
  <c r="AB37" i="78"/>
  <c r="G82" i="78"/>
  <c r="G113" i="78" s="1"/>
  <c r="G111" i="78"/>
  <c r="E22" i="78"/>
  <c r="J78" i="78"/>
  <c r="J108" i="78"/>
  <c r="K24" i="78"/>
  <c r="K55" i="78"/>
  <c r="H55" i="78"/>
  <c r="M22" i="78"/>
  <c r="H108" i="78"/>
  <c r="H78" i="78"/>
  <c r="H53" i="78"/>
  <c r="M45" i="78"/>
  <c r="H56" i="78"/>
  <c r="H50" i="78"/>
  <c r="L47" i="78"/>
  <c r="F49" i="78"/>
  <c r="F45" i="78"/>
  <c r="J50" i="78"/>
  <c r="J48" i="78"/>
  <c r="J56" i="78"/>
  <c r="J45" i="78"/>
  <c r="F50" i="78"/>
  <c r="F56" i="78"/>
  <c r="R21" i="78"/>
  <c r="P78" i="78"/>
  <c r="S54" i="78"/>
  <c r="S22" i="78"/>
  <c r="U21" i="78"/>
  <c r="U54" i="78" s="1"/>
  <c r="Y46" i="78"/>
  <c r="Y21" i="78"/>
  <c r="Y54" i="78" s="1"/>
  <c r="Y56" i="78"/>
  <c r="Y107" i="78"/>
  <c r="Y112" i="78"/>
  <c r="Y103" i="78"/>
  <c r="Y105" i="78"/>
  <c r="Y101" i="78"/>
  <c r="Y110" i="78"/>
  <c r="I21" i="78"/>
  <c r="F77" i="78"/>
  <c r="J21" i="78"/>
  <c r="J54" i="78" s="1"/>
  <c r="L58" i="78"/>
  <c r="F53" i="78"/>
  <c r="H101" i="78"/>
  <c r="L45" i="78"/>
  <c r="N54" i="78"/>
  <c r="N102" i="78"/>
  <c r="N110" i="78"/>
  <c r="N78" i="78"/>
  <c r="N103" i="78"/>
  <c r="P48" i="78"/>
  <c r="Q78" i="78"/>
  <c r="T53" i="78"/>
  <c r="T58" i="78"/>
  <c r="T48" i="78"/>
  <c r="U48" i="78"/>
  <c r="U53" i="78"/>
  <c r="U51" i="78"/>
  <c r="U45" i="78"/>
  <c r="U22" i="78"/>
  <c r="U49" i="78"/>
  <c r="U50" i="78"/>
  <c r="U56" i="78"/>
  <c r="U101" i="78"/>
  <c r="U112" i="78"/>
  <c r="U104" i="78"/>
  <c r="U107" i="78"/>
  <c r="U105" i="78"/>
  <c r="X46" i="78"/>
  <c r="X21" i="78"/>
  <c r="X54" i="78" s="1"/>
  <c r="X50" i="78"/>
  <c r="X56" i="78"/>
  <c r="X103" i="78"/>
  <c r="X107" i="78"/>
  <c r="X112" i="78"/>
  <c r="X101" i="78"/>
  <c r="X78" i="78"/>
  <c r="X110" i="78"/>
  <c r="Z46" i="78"/>
  <c r="Z56" i="78"/>
  <c r="Z107" i="78"/>
  <c r="Z101" i="78"/>
  <c r="Z112" i="78"/>
  <c r="Z103" i="78"/>
  <c r="Z104" i="78"/>
  <c r="Z110" i="78"/>
  <c r="AB47" i="78"/>
  <c r="AB49" i="78"/>
  <c r="AB58" i="78"/>
  <c r="AB53" i="78"/>
  <c r="AB45" i="78"/>
  <c r="AC45" i="78"/>
  <c r="AC21" i="78"/>
  <c r="AC54" i="78" s="1"/>
  <c r="H52" i="78"/>
  <c r="H46" i="78"/>
  <c r="L48" i="78"/>
  <c r="H49" i="78"/>
  <c r="L52" i="78"/>
  <c r="G104" i="78"/>
  <c r="G105" i="78"/>
  <c r="L104" i="78"/>
  <c r="Y51" i="78"/>
  <c r="Y49" i="78"/>
  <c r="Y47" i="78"/>
  <c r="Y53" i="78"/>
  <c r="Y48" i="78"/>
  <c r="Y77" i="78"/>
  <c r="Y108" i="78" s="1"/>
  <c r="Y102" i="78"/>
  <c r="L110" i="78"/>
  <c r="F22" i="78"/>
  <c r="L78" i="78"/>
  <c r="I77" i="78"/>
  <c r="L21" i="78"/>
  <c r="L54" i="78" s="1"/>
  <c r="L107" i="78"/>
  <c r="G101" i="78"/>
  <c r="L51" i="78"/>
  <c r="L101" i="78"/>
  <c r="G102" i="78"/>
  <c r="I105" i="78"/>
  <c r="P22" i="78"/>
  <c r="Q45" i="78"/>
  <c r="Q21" i="78"/>
  <c r="T101" i="78"/>
  <c r="T77" i="78"/>
  <c r="V77" i="78"/>
  <c r="V101" i="78"/>
  <c r="X51" i="78"/>
  <c r="X49" i="78"/>
  <c r="X22" i="78"/>
  <c r="X45" i="78"/>
  <c r="X48" i="78"/>
  <c r="Y45" i="78"/>
  <c r="Y58" i="78"/>
  <c r="Z51" i="78"/>
  <c r="Z53" i="78"/>
  <c r="Z45" i="78"/>
  <c r="Z22" i="78"/>
  <c r="Z47" i="78"/>
  <c r="Z49" i="78"/>
  <c r="Z48" i="78"/>
  <c r="Z77" i="78"/>
  <c r="Z102" i="78"/>
  <c r="AB46" i="78"/>
  <c r="AB21" i="78"/>
  <c r="AB112" i="78"/>
  <c r="AB103" i="78"/>
  <c r="AB101" i="78"/>
  <c r="AB78" i="78"/>
  <c r="AB105" i="78"/>
  <c r="AB104" i="78"/>
  <c r="AB110" i="78"/>
  <c r="O111" i="78"/>
  <c r="O82" i="78"/>
  <c r="O113" i="78" s="1"/>
  <c r="S80" i="78"/>
  <c r="S109" i="78"/>
  <c r="Q37" i="78"/>
  <c r="R112" i="78"/>
  <c r="R102" i="78"/>
  <c r="R106" i="78"/>
  <c r="T50" i="78"/>
  <c r="T56" i="78"/>
  <c r="R105" i="78"/>
  <c r="R101" i="78"/>
  <c r="U77" i="78"/>
  <c r="U108" i="78" s="1"/>
  <c r="T21" i="78"/>
  <c r="T54" i="78" s="1"/>
  <c r="T46" i="78"/>
  <c r="T47" i="78"/>
  <c r="V21" i="78"/>
  <c r="AC80" i="78"/>
  <c r="AC109" i="78"/>
  <c r="AC58" i="78"/>
  <c r="AC56" i="78"/>
  <c r="AC50" i="78"/>
  <c r="AC46" i="78"/>
  <c r="AC52" i="78"/>
  <c r="AC48" i="78"/>
  <c r="J11" i="81"/>
  <c r="L11" i="81"/>
  <c r="M78" i="78" l="1"/>
  <c r="M80" i="78" s="1"/>
  <c r="N24" i="78"/>
  <c r="N55" i="78"/>
  <c r="R78" i="78"/>
  <c r="R109" i="78" s="1"/>
  <c r="J22" i="78"/>
  <c r="J55" i="78" s="1"/>
  <c r="Y78" i="78"/>
  <c r="Z55" i="78"/>
  <c r="Z24" i="78"/>
  <c r="X24" i="78"/>
  <c r="X55" i="78"/>
  <c r="R80" i="78"/>
  <c r="J24" i="78"/>
  <c r="X80" i="78"/>
  <c r="X109" i="78"/>
  <c r="I22" i="78"/>
  <c r="I54" i="78"/>
  <c r="Y109" i="78"/>
  <c r="Y80" i="78"/>
  <c r="R22" i="78"/>
  <c r="R54" i="78"/>
  <c r="H80" i="78"/>
  <c r="H109" i="78"/>
  <c r="H57" i="78"/>
  <c r="H26" i="78"/>
  <c r="H59" i="78" s="1"/>
  <c r="AC111" i="78"/>
  <c r="AC82" i="78"/>
  <c r="AC113" i="78" s="1"/>
  <c r="S111" i="78"/>
  <c r="S82" i="78"/>
  <c r="S113" i="78" s="1"/>
  <c r="Q54" i="78"/>
  <c r="Q22" i="78"/>
  <c r="L109" i="78"/>
  <c r="L80" i="78"/>
  <c r="Y22" i="78"/>
  <c r="U78" i="78"/>
  <c r="L22" i="78"/>
  <c r="S55" i="78"/>
  <c r="S24" i="78"/>
  <c r="J80" i="78"/>
  <c r="J109" i="78"/>
  <c r="E55" i="78"/>
  <c r="V22" i="78"/>
  <c r="V54" i="78"/>
  <c r="Z108" i="78"/>
  <c r="Z78" i="78"/>
  <c r="V78" i="78"/>
  <c r="V108" i="78"/>
  <c r="F55" i="78"/>
  <c r="F24" i="78"/>
  <c r="U24" i="78"/>
  <c r="U55" i="78"/>
  <c r="N109" i="78"/>
  <c r="N80" i="78"/>
  <c r="M109" i="78"/>
  <c r="AC22" i="78"/>
  <c r="AB80" i="78"/>
  <c r="AB109" i="78"/>
  <c r="AB54" i="78"/>
  <c r="AB22" i="78"/>
  <c r="T78" i="78"/>
  <c r="T108" i="78"/>
  <c r="P24" i="78"/>
  <c r="P55" i="78"/>
  <c r="I108" i="78"/>
  <c r="I78" i="78"/>
  <c r="T22" i="78"/>
  <c r="Q80" i="78"/>
  <c r="Q109" i="78"/>
  <c r="F108" i="78"/>
  <c r="F78" i="78"/>
  <c r="P80" i="78"/>
  <c r="P109" i="78"/>
  <c r="M55" i="78"/>
  <c r="M24" i="78"/>
  <c r="K57" i="78"/>
  <c r="K26" i="78"/>
  <c r="K59" i="78" s="1"/>
  <c r="E80" i="78"/>
  <c r="E109" i="78"/>
  <c r="N57" i="78" l="1"/>
  <c r="N26" i="78"/>
  <c r="N59" i="78" s="1"/>
  <c r="I109" i="78"/>
  <c r="I80" i="78"/>
  <c r="P82" i="78"/>
  <c r="P113" i="78" s="1"/>
  <c r="P111" i="78"/>
  <c r="Q111" i="78"/>
  <c r="Q82" i="78"/>
  <c r="Q113" i="78" s="1"/>
  <c r="AB24" i="78"/>
  <c r="AB55" i="78"/>
  <c r="AC55" i="78"/>
  <c r="AC24" i="78"/>
  <c r="E57" i="78"/>
  <c r="E26" i="78"/>
  <c r="E59" i="78" s="1"/>
  <c r="L111" i="78"/>
  <c r="L82" i="78"/>
  <c r="L113" i="78" s="1"/>
  <c r="M57" i="78"/>
  <c r="M26" i="78"/>
  <c r="M59" i="78" s="1"/>
  <c r="F80" i="78"/>
  <c r="F109" i="78"/>
  <c r="T24" i="78"/>
  <c r="T55" i="78"/>
  <c r="P26" i="78"/>
  <c r="P59" i="78" s="1"/>
  <c r="P57" i="78"/>
  <c r="L55" i="78"/>
  <c r="L24" i="78"/>
  <c r="R55" i="78"/>
  <c r="R24" i="78"/>
  <c r="I55" i="78"/>
  <c r="I24" i="78"/>
  <c r="J26" i="78"/>
  <c r="J59" i="78" s="1"/>
  <c r="J57" i="78"/>
  <c r="X26" i="78"/>
  <c r="X59" i="78" s="1"/>
  <c r="X57" i="78"/>
  <c r="E111" i="78"/>
  <c r="E113" i="78"/>
  <c r="M111" i="78"/>
  <c r="M82" i="78"/>
  <c r="M113" i="78" s="1"/>
  <c r="U26" i="78"/>
  <c r="U59" i="78" s="1"/>
  <c r="U57" i="78"/>
  <c r="V80" i="78"/>
  <c r="V109" i="78"/>
  <c r="V55" i="78"/>
  <c r="V24" i="78"/>
  <c r="J111" i="78"/>
  <c r="J82" i="78"/>
  <c r="J113" i="78" s="1"/>
  <c r="U109" i="78"/>
  <c r="U80" i="78"/>
  <c r="Q24" i="78"/>
  <c r="Q55" i="78"/>
  <c r="Y82" i="78"/>
  <c r="Y113" i="78" s="1"/>
  <c r="Y111" i="78"/>
  <c r="R111" i="78"/>
  <c r="R82" i="78"/>
  <c r="R113" i="78" s="1"/>
  <c r="Z57" i="78"/>
  <c r="Z26" i="78"/>
  <c r="Z59" i="78" s="1"/>
  <c r="T109" i="78"/>
  <c r="T80" i="78"/>
  <c r="AB111" i="78"/>
  <c r="AB82" i="78"/>
  <c r="AB113" i="78" s="1"/>
  <c r="N111" i="78"/>
  <c r="N82" i="78"/>
  <c r="N113" i="78" s="1"/>
  <c r="F57" i="78"/>
  <c r="F26" i="78"/>
  <c r="F59" i="78" s="1"/>
  <c r="Z80" i="78"/>
  <c r="Z109" i="78"/>
  <c r="S26" i="78"/>
  <c r="S59" i="78" s="1"/>
  <c r="S57" i="78"/>
  <c r="Y55" i="78"/>
  <c r="Y24" i="78"/>
  <c r="H82" i="78"/>
  <c r="H113" i="78" s="1"/>
  <c r="H111" i="78"/>
  <c r="X82" i="78"/>
  <c r="X113" i="78" s="1"/>
  <c r="X111" i="78"/>
  <c r="V57" i="78" l="1"/>
  <c r="V26" i="78"/>
  <c r="V59" i="78" s="1"/>
  <c r="Y26" i="78"/>
  <c r="Y59" i="78" s="1"/>
  <c r="Y57" i="78"/>
  <c r="T82" i="78"/>
  <c r="T113" i="78" s="1"/>
  <c r="T111" i="78"/>
  <c r="I26" i="78"/>
  <c r="I59" i="78" s="1"/>
  <c r="I57" i="78"/>
  <c r="L57" i="78"/>
  <c r="L26" i="78"/>
  <c r="L59" i="78" s="1"/>
  <c r="Z82" i="78"/>
  <c r="Z113" i="78" s="1"/>
  <c r="Z111" i="78"/>
  <c r="Q26" i="78"/>
  <c r="Q59" i="78" s="1"/>
  <c r="Q57" i="78"/>
  <c r="V82" i="78"/>
  <c r="V113" i="78" s="1"/>
  <c r="V111" i="78"/>
  <c r="T57" i="78"/>
  <c r="T26" i="78"/>
  <c r="T59" i="78" s="1"/>
  <c r="AB26" i="78"/>
  <c r="AB59" i="78" s="1"/>
  <c r="AB57" i="78"/>
  <c r="U82" i="78"/>
  <c r="U113" i="78" s="1"/>
  <c r="U111" i="78"/>
  <c r="R26" i="78"/>
  <c r="R59" i="78" s="1"/>
  <c r="R57" i="78"/>
  <c r="AC57" i="78"/>
  <c r="AC26" i="78"/>
  <c r="AC59" i="78" s="1"/>
  <c r="I111" i="78"/>
  <c r="I82" i="78"/>
  <c r="I113" i="78" s="1"/>
  <c r="F82" i="78"/>
  <c r="F113" i="78" s="1"/>
  <c r="F111" i="78"/>
</calcChain>
</file>

<file path=xl/sharedStrings.xml><?xml version="1.0" encoding="utf-8"?>
<sst xmlns="http://schemas.openxmlformats.org/spreadsheetml/2006/main" count="2121" uniqueCount="359">
  <si>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</si>
  <si>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</si>
  <si>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</si>
  <si>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</si>
  <si>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</si>
  <si>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</si>
  <si>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</si>
  <si>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</si>
  <si>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</si>
  <si>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</si>
  <si>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</si>
  <si>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</si>
  <si>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</si>
  <si>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</si>
  <si>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</si>
  <si>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</si>
  <si>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</si>
  <si>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</si>
  <si>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</si>
  <si>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</si>
  <si>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</si>
  <si>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</si>
  <si>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</si>
  <si>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</si>
  <si>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</si>
  <si>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</si>
  <si>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</si>
  <si>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</si>
  <si>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</si>
  <si>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</si>
  <si>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</si>
  <si>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</si>
  <si>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</si>
  <si>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</si>
  <si>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</si>
  <si>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</si>
  <si>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</si>
  <si>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</si>
  <si>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</si>
  <si>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</si>
  <si>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</si>
  <si>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</si>
  <si>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</si>
  <si>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</si>
  <si>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</si>
  <si>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</si>
  <si>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</si>
  <si>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</si>
  <si>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</si>
  <si>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</si>
  <si>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</si>
  <si>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</si>
  <si>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</si>
  <si>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</si>
  <si>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</si>
  <si>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</si>
  <si>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</si>
  <si>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</si>
  <si>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</si>
  <si>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</si>
  <si>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</si>
  <si>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</si>
  <si>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</si>
  <si>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</si>
  <si>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</si>
  <si>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</si>
  <si>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</si>
  <si>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</si>
  <si>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</si>
  <si>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</si>
  <si>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</si>
  <si>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</si>
  <si>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</si>
  <si>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ACTIVISION BLIZZARD, INC. AND SUBSIDIARIES</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</si>
  <si>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</si>
  <si>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</si>
  <si>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</si>
  <si>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</si>
  <si>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</si>
  <si>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</si>
  <si>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</si>
  <si>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</si>
  <si>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</si>
  <si>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</si>
  <si>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</si>
  <si>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</si>
  <si>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</si>
  <si>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</si>
  <si>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</si>
  <si>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</si>
  <si>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</si>
  <si>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</si>
  <si>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</si>
  <si>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</si>
  <si>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</si>
  <si>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</si>
  <si>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</si>
  <si>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Total Activision and Blizzard</t>
  </si>
  <si>
    <t>Distribution:</t>
  </si>
  <si>
    <t>Total Distribution</t>
  </si>
  <si>
    <t>Total changes in deferred net revenues</t>
  </si>
  <si>
    <t>Non-GAAP Net Revenues by Segment/Platform Mix</t>
  </si>
  <si>
    <t xml:space="preserve">Total Activision and Blizzard </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</si>
  <si>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</si>
  <si>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</si>
  <si>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</si>
  <si>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</si>
  <si>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</si>
  <si>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</si>
  <si>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</si>
  <si>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</si>
  <si>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</si>
  <si>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</si>
  <si>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</si>
  <si>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</si>
  <si>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</si>
  <si>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</si>
  <si>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</si>
  <si>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</si>
  <si>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</si>
  <si>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</si>
  <si>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</si>
  <si>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</si>
  <si>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</si>
  <si>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</si>
  <si>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</si>
  <si>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</si>
  <si>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</si>
  <si>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</si>
  <si>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</si>
  <si>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</si>
  <si>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</si>
  <si>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</si>
  <si>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</si>
  <si>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</si>
  <si>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</si>
  <si>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</si>
  <si>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</si>
  <si>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</si>
  <si>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</si>
  <si>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</si>
  <si>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</si>
  <si>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</si>
  <si>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</si>
  <si>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</si>
  <si>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</si>
  <si>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</si>
  <si>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</si>
  <si>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</si>
  <si>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</si>
  <si>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</si>
  <si>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</si>
  <si>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</si>
  <si>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</si>
  <si>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</si>
  <si>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</si>
  <si>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</si>
  <si>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</si>
  <si>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</si>
  <si>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</si>
  <si>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</si>
  <si>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</si>
  <si>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</si>
  <si>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</si>
  <si>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</si>
  <si>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</si>
  <si>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</si>
  <si>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</si>
  <si>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Proceeds from sale of available-for-sale investments</t>
  </si>
  <si>
    <t>Payment of contingent consideration</t>
  </si>
  <si>
    <t>Purchases of available-for-sale investments</t>
  </si>
  <si>
    <t>Cash flows from financing activities:</t>
  </si>
  <si>
    <t>Proceeds from issuance of common stock to employees</t>
  </si>
  <si>
    <t>Repurchase of common stock</t>
  </si>
  <si>
    <t>Dividends paid</t>
  </si>
  <si>
    <t>Effect of foreign exchange rate changes on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</si>
  <si>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</si>
  <si>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</si>
  <si>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</si>
  <si>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</si>
  <si>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</si>
  <si>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</si>
  <si>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</si>
  <si>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</si>
  <si>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</si>
  <si>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</si>
  <si>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</si>
  <si>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</si>
  <si>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Total non-GAAP net revenues </t>
    </r>
    <r>
      <rPr>
        <vertAlign val="superscript"/>
        <sz val="9"/>
        <rFont val="Arial"/>
        <family val="2"/>
      </rPr>
      <t>2</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</si>
  <si>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</si>
  <si>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</si>
  <si>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</si>
  <si>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</si>
  <si>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</si>
  <si>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</si>
  <si>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</si>
  <si>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</si>
  <si>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</si>
  <si>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</si>
  <si>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</si>
  <si>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</si>
  <si>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</si>
  <si>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</si>
  <si>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</si>
  <si>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</si>
  <si>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Cash Flow Data</t>
  </si>
  <si>
    <t>Operating Cash Flow</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</si>
  <si>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</si>
  <si>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</si>
  <si>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</si>
  <si>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</si>
  <si>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</si>
  <si>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</si>
  <si>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</si>
  <si>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</si>
  <si>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</si>
  <si>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</si>
  <si>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r>
      <t>Q3</t>
    </r>
    <r>
      <rPr>
        <b/>
        <vertAlign val="superscript"/>
        <sz val="9"/>
        <rFont val="Arial"/>
        <family val="2"/>
      </rPr>
      <t>(v)</t>
    </r>
  </si>
  <si>
    <t>TTM</t>
  </si>
  <si>
    <r>
      <rPr>
        <vertAlign val="superscript"/>
        <sz val="9"/>
        <rFont val="Arial"/>
        <family val="2"/>
      </rPr>
      <t>(iii)</t>
    </r>
    <r>
      <rPr>
        <sz val="9"/>
        <rFont val="Arial"/>
        <family val="2"/>
      </rPr>
      <t xml:space="preserve"> Activision Blizzard Distribution (“Distribution”) — distributes interactive entertainment software and hardware products.</t>
    </r>
  </si>
  <si>
    <t>Three Months Ended September 30, 2011</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</si>
  <si>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</si>
  <si>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</si>
  <si>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</si>
  <si>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r>
      <rPr>
        <vertAlign val="superscript"/>
        <sz val="9"/>
        <color theme="1"/>
        <rFont val="Calibri"/>
        <family val="2"/>
        <scheme val="minor"/>
      </rPr>
      <t>(i)</t>
    </r>
    <r>
      <rPr>
        <sz val="9"/>
        <color theme="1"/>
        <rFont val="Calibri"/>
        <family val="2"/>
        <scheme val="minor"/>
      </rPr>
      <t xml:space="preserve"> Results of Activision Blizzard for the period from July 9, 2008 (commencement of the Business Combination) to September 30, 2008 and Vivendi Games for period from July 1, 2008 to July 8, 2008.</t>
    </r>
  </si>
  <si>
    <t>Impairment of goodwill/intangible assets</t>
  </si>
  <si>
    <t>Three Months Ended December 31, 2011</t>
  </si>
  <si>
    <t>Less:  Impairment of goodwill</t>
  </si>
  <si>
    <t>`</t>
  </si>
  <si>
    <t>Reconciliation to consolidated operating income (loss):</t>
  </si>
  <si>
    <t>Proceeds from maturities of available-for-sale investments</t>
  </si>
  <si>
    <t>Net income</t>
  </si>
  <si>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</si>
  <si>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</si>
  <si>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</si>
  <si>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</si>
  <si>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expenses related to restructuring;</t>
  </si>
  <si>
    <t>CY12</t>
  </si>
  <si>
    <t>Three Months Ended March 31, 2012</t>
  </si>
  <si>
    <t>Inventories, net</t>
  </si>
  <si>
    <t>Accounts receivable, net</t>
  </si>
  <si>
    <t>Three Months Ended June 30, 2012</t>
  </si>
  <si>
    <t>Three Months Ended September 30, 2012</t>
  </si>
  <si>
    <t>Three Months Ended December 31, 2012</t>
  </si>
  <si>
    <t>Tax payment related to net share settlements of restricted stock awards</t>
  </si>
  <si>
    <t>Capital Expenditures</t>
  </si>
  <si>
    <t>UNAUDITED CONDENSED CONSOLIDATED STATEMENTS OF CASH FLOWS</t>
  </si>
  <si>
    <t>(c) Reflects amortization of intangible assets from purchase price accounting.</t>
  </si>
  <si>
    <t>UNAUDITED SEGMENT INFORMATION</t>
  </si>
  <si>
    <t>UNAUDITED FINANCIAL INFORMATION</t>
  </si>
  <si>
    <t>UNAUDITED SUPPLEMENTAL FINANCIAL INFORMATION</t>
  </si>
  <si>
    <t>RECONCILIATION OF GAAP NET INCOME TO NON-GAAP MEASURES (UNAUDITED)</t>
  </si>
  <si>
    <t>Net cash used in financing activities</t>
  </si>
  <si>
    <t>Net cash (used in) provided by  investing activities</t>
  </si>
  <si>
    <t>(Increase) decrease in restricted cash</t>
  </si>
  <si>
    <t>Net increase in cash and cash equivalents</t>
  </si>
  <si>
    <t>RECONCILIATION OF GAAP NET INCOME TO NON-GAAP NET INCOME</t>
  </si>
  <si>
    <t>(Amounts in millions, except earnings (loss) per share data)</t>
  </si>
  <si>
    <t>Three Months ended September 30, 2008</t>
  </si>
  <si>
    <t>Less:  One time costs related to the Business Combination, integration and restructuring</t>
  </si>
  <si>
    <t>Three Months ended December 31, 2008</t>
  </si>
  <si>
    <t>(c) Reflects the results of products and operations from the historical Vivendi Games businesses that the Company has exited, divested or wound down.</t>
  </si>
  <si>
    <t>The per share adjustments are presented as calculated, and the GAAP and non-GAAP earnings (loss) per share information is also presented as calculated. The sum of these measures, as presented, may differ due to the impact of rounding.</t>
  </si>
  <si>
    <t>Net income attributable to Activision Blizzard Inc. common shareholders used to calculate earnings per common share assuming dilution</t>
  </si>
  <si>
    <t>CY13</t>
  </si>
  <si>
    <t>Three Months Ended March 31, 2013</t>
  </si>
  <si>
    <t>Operating cash flow (hence, Non-GAAP free cash flow) does not include foreign exchange rate changes as cash and cash equivalents.</t>
  </si>
  <si>
    <t>PC</t>
  </si>
  <si>
    <r>
      <t xml:space="preserve">Non-core operations </t>
    </r>
    <r>
      <rPr>
        <vertAlign val="superscript"/>
        <sz val="9"/>
        <rFont val="Arial"/>
        <family val="2"/>
      </rPr>
      <t>5</t>
    </r>
  </si>
  <si>
    <t xml:space="preserve"> Business Combination. Prior to July 1, 2009, Non-Core activities were managed as a stand-alone operating segment; however, in light of the minimal activities and insignificance of Non-Core activities, as of</t>
  </si>
  <si>
    <t xml:space="preserve"> that date we ceased their management as a separate operating segment and consequently, we are no longer providing separate operating segment disclosure.</t>
  </si>
  <si>
    <r>
      <t xml:space="preserve">Activision Blizzard’s non-core exit operations </t>
    </r>
    <r>
      <rPr>
        <b/>
        <vertAlign val="superscript"/>
        <sz val="9"/>
        <color theme="1"/>
        <rFont val="Arial"/>
        <family val="2"/>
      </rPr>
      <t>3</t>
    </r>
  </si>
  <si>
    <t>Three Months Ended June 30, 2013</t>
  </si>
  <si>
    <t>Three Months Ended September 30, 2013</t>
  </si>
  <si>
    <t>GAAP Net income (loss)</t>
  </si>
  <si>
    <t>Provision (benefit) for income taxes</t>
  </si>
  <si>
    <t>EBITDA</t>
  </si>
  <si>
    <t>Adjusted EBITDA</t>
  </si>
  <si>
    <t>Impairment of goodwill / intangible assets</t>
  </si>
  <si>
    <t>Deferral of net revenues and related cost of sales</t>
  </si>
  <si>
    <t>Restructuring expenses</t>
  </si>
  <si>
    <t>Integration and transaction costs</t>
  </si>
  <si>
    <t>Other - non core</t>
  </si>
  <si>
    <t xml:space="preserve">Other </t>
  </si>
  <si>
    <t>Cash in escrow</t>
  </si>
  <si>
    <t>Long-term debt, net of current portion</t>
  </si>
  <si>
    <t>Participating securities</t>
  </si>
  <si>
    <t>Operating Cash Flow - TTM</t>
  </si>
  <si>
    <t>Capital Expenditures - TTM</t>
  </si>
  <si>
    <t>Non-GAAP Free Cash Flow - TTM</t>
  </si>
  <si>
    <t>•• the amortization of intangibles, impairment of goodwill and intangible assets, and adjustments resulting from purchase price accounting;</t>
  </si>
  <si>
    <t>Fees and other expenses related to the Purchase Transaction and related debt financings</t>
  </si>
  <si>
    <t>Less:  Fees and other expenses related to the Purchase Transaction and related debt financings</t>
  </si>
  <si>
    <t>(e) Reflects impairment of goodwill.</t>
  </si>
  <si>
    <t xml:space="preserve">For the Years Ended December 31, </t>
  </si>
  <si>
    <t>Three Months Ended December 31, 2013</t>
  </si>
  <si>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</si>
  <si>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In this model, Activision Blizzard has provided a reconciliation of the most comparable GAAP financial measure to the historical non-GAAP measures.  Please refer to the reconciliation tables that follow.</t>
  </si>
  <si>
    <t>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t>
  </si>
  <si>
    <t>Current portion of long-term debt</t>
  </si>
  <si>
    <t>Amortization of debt discount and debt issuance costs</t>
  </si>
  <si>
    <t>Excess tax benefits from stock awards</t>
  </si>
  <si>
    <t>Proceeds from issuance of long-term debt</t>
  </si>
  <si>
    <t>Repayment of long-term debt</t>
  </si>
  <si>
    <t>Payment of debt discount and financing costs</t>
  </si>
  <si>
    <t xml:space="preserve">Diluted and Participating securities </t>
  </si>
  <si>
    <t>TTM amounts are presented as calculated. Therefore, the sum of the four quarters, as presented, may differ due to the impact of rounding.</t>
  </si>
  <si>
    <t>CY14</t>
  </si>
  <si>
    <t>Three Months Ended March 31, 2014</t>
  </si>
  <si>
    <t>Three Months Ended June 30, 2014</t>
  </si>
  <si>
    <t>Three Months Ended September 30, 2014</t>
  </si>
  <si>
    <t>Three Months Ended December 31, 2014</t>
  </si>
  <si>
    <t>Online*</t>
  </si>
  <si>
    <t>Cost of sales - online</t>
  </si>
  <si>
    <t>Cost of Sales - Online</t>
  </si>
  <si>
    <r>
      <t xml:space="preserve">Mobile and other </t>
    </r>
    <r>
      <rPr>
        <vertAlign val="superscript"/>
        <sz val="9"/>
        <rFont val="Arial"/>
        <family val="2"/>
      </rPr>
      <t>3</t>
    </r>
  </si>
  <si>
    <t>Interest (Income) / Expense, net</t>
  </si>
  <si>
    <t>Non-GAAP free cash flow represents operating cash flow minus capital expenditures (which includes payment for acquisition of intangible assets).</t>
  </si>
  <si>
    <t>Less:   Amortization of intangible assets</t>
  </si>
  <si>
    <t xml:space="preserve">(d) Reflects fees and other expenses (including legal fees, costs, expenses and accruals) related to the repurchase of 429 million shares of our common stock from Vivendi (the "Purchase Transaction") </t>
  </si>
  <si>
    <t>completed on October 11, 2013 and related debt financings.</t>
  </si>
  <si>
    <r>
      <t>•• the fees and other expenses (including legal fees, costs, expenses and accruals) related to the Purchase Transaction</t>
    </r>
    <r>
      <rPr>
        <vertAlign val="superscript"/>
        <sz val="10.5"/>
        <color indexed="8"/>
        <rFont val="Arial"/>
        <family val="2"/>
      </rPr>
      <t>2</t>
    </r>
    <r>
      <rPr>
        <sz val="10.5"/>
        <color indexed="8"/>
        <rFont val="Arial"/>
        <family val="2"/>
      </rPr>
      <t xml:space="preserve"> and related debt financings; and</t>
    </r>
  </si>
  <si>
    <r>
      <rPr>
        <vertAlign val="superscript"/>
        <sz val="9"/>
        <color indexed="8"/>
        <rFont val="Arial"/>
        <family val="2"/>
      </rPr>
      <t>2</t>
    </r>
    <r>
      <rPr>
        <sz val="9"/>
        <color indexed="8"/>
        <rFont val="Arial"/>
        <family val="2"/>
      </rPr>
      <t xml:space="preserve"> Reflects fees and other expenses (including legal fees, costs, expenses and accruals) related to the repurchase of 429 million shares of our common stock from Vivendi (the "Purchase Transaction") </t>
    </r>
  </si>
  <si>
    <t xml:space="preserve">completed on October 11, 2013 and related debt financings. </t>
  </si>
  <si>
    <t xml:space="preserve"> </t>
  </si>
  <si>
    <t>Income (loss) before income tax expense (benefit)</t>
  </si>
  <si>
    <t>Income tax expense (benefit)</t>
  </si>
  <si>
    <t>For purpose of calculation of earnings per share, we had, on a weighted-average basis, common shares outstanding of 718 million, participating securities of approximately 14 million, and dilutive shares of 10 million during the three months ended September 30, 2014.</t>
  </si>
  <si>
    <t>EBITDA and Adjusted EBITDA</t>
  </si>
  <si>
    <t>Provision for inventories</t>
  </si>
  <si>
    <t>Prior-generation (PS3, Xbox 360, Wii)</t>
  </si>
  <si>
    <t>Next-generation (PS4, Xbox One, Wii U)</t>
  </si>
  <si>
    <t>CY15</t>
  </si>
  <si>
    <t>Three Months Ended March 31, 2015</t>
  </si>
  <si>
    <t>Interest and other expense, net</t>
  </si>
  <si>
    <r>
      <rPr>
        <vertAlign val="superscript"/>
        <sz val="9"/>
        <rFont val="Arial"/>
        <family val="2"/>
      </rPr>
      <t>(i)</t>
    </r>
    <r>
      <rPr>
        <sz val="9"/>
        <rFont val="Arial"/>
        <family val="2"/>
      </rPr>
      <t xml:space="preserve"> Activision Publishing (“Activision”) —  publishes interactive entertainment products and content.</t>
    </r>
  </si>
  <si>
    <r>
      <rPr>
        <vertAlign val="superscript"/>
        <sz val="9"/>
        <rFont val="Arial"/>
        <family val="2"/>
      </rPr>
      <t>(ii)</t>
    </r>
    <r>
      <rPr>
        <sz val="9"/>
        <rFont val="Arial"/>
        <family val="2"/>
      </rPr>
      <t xml:space="preserve"> Blizzard Entertainment, Inc. (“Blizzard”) — publishes games and online subscription-based games in the MMORPG category.</t>
    </r>
  </si>
  <si>
    <r>
      <rPr>
        <vertAlign val="superscript"/>
        <sz val="9"/>
        <rFont val="Arial"/>
        <family val="2"/>
      </rPr>
      <t>(v)</t>
    </r>
    <r>
      <rPr>
        <sz val="9"/>
        <rFont val="Arial"/>
        <family val="2"/>
      </rPr>
      <t xml:space="preserve"> Results of Activision Blizzard for the period from July 9, 2008 (commencement of the Business Combination) to September 30, 2008 and Vivendi Games for period from July 1, 2008 to July 8, 2008.</t>
    </r>
  </si>
  <si>
    <r>
      <t>1</t>
    </r>
    <r>
      <rPr>
        <sz val="9"/>
        <rFont val="Arial"/>
        <family val="2"/>
      </rPr>
      <t xml:space="preserve"> We provide net revenues including (in accordance with GAAP) and excluding (non-GAAP) the impact of changes in deferred revenues.</t>
    </r>
  </si>
  <si>
    <r>
      <t>3</t>
    </r>
    <r>
      <rPr>
        <sz val="9"/>
        <rFont val="Arial"/>
        <family val="2"/>
      </rPr>
      <t xml:space="preserve"> Non-Core related to activities, which are legacy Vivendi Games’ divisions or business units that we have exited, divested or wound down as part of the restructuring and integration efforts as a result of the</t>
    </r>
  </si>
  <si>
    <r>
      <t>5</t>
    </r>
    <r>
      <rPr>
        <sz val="9"/>
        <rFont val="Arial"/>
        <family val="2"/>
      </rPr>
      <t xml:space="preserve"> Non-Core related to activities, which are legacy Vivendi Games’ divisions or business units that we have exited, divested or wound down as part of the restructuring and integration efforts as a result of the</t>
    </r>
  </si>
  <si>
    <t>(1) We provide net revenues including (in accordance with GAAP) and excluding (non-GAAP) the impact of changes in deferred revenues.</t>
  </si>
  <si>
    <t>(a) Reflects the net change in deferred revenues and related cost of sales.</t>
  </si>
  <si>
    <t>•• the change in deferred revenues and related cost of sales with respect to certain of the company’s online-enabled games;</t>
  </si>
  <si>
    <t>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revenues,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revenues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revenues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revenues and related cost of sales in its non-GAAP financial measures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revenues and the related cost of sales provides a much more timely indication of trends in our operating results.</t>
  </si>
  <si>
    <r>
      <rPr>
        <vertAlign val="superscript"/>
        <sz val="9"/>
        <rFont val="Arial"/>
        <family val="2"/>
      </rPr>
      <t>(iv)</t>
    </r>
    <r>
      <rPr>
        <sz val="9"/>
        <rFont val="Arial"/>
        <family val="2"/>
      </rPr>
      <t xml:space="preserve"> Other represents Non-Core activities, which are legacy Vivendi Games’ divisions or business units that we have exited, divested or wound down as part of the restructuring and integration efforts as a </t>
    </r>
  </si>
  <si>
    <t xml:space="preserve"> result of the Business Combination. Prior to July 1, 2009, Non-Core activities were managed as a stand alone operating segment; however, in light of the minimal activities and insignificance of Non-Core </t>
  </si>
  <si>
    <t xml:space="preserve"> activities, as of that date we ceased their management as a separate operating segment and consequently, we are no longer providing separate operating segment disclosures.</t>
  </si>
  <si>
    <r>
      <rPr>
        <vertAlign val="superscript"/>
        <sz val="9"/>
        <color theme="1"/>
        <rFont val="Arial"/>
        <family val="2"/>
      </rPr>
      <t>(i)</t>
    </r>
    <r>
      <rPr>
        <sz val="9"/>
        <color theme="1"/>
        <rFont val="Arial"/>
        <family val="2"/>
      </rPr>
      <t xml:space="preserve"> Results of Activision Blizzard for the period from July 9, 2008 (commencement of the Business Combination) to September 30, 2008 and Vivendi Games for period from July 1, 2008 to July 8, 2008.</t>
    </r>
  </si>
  <si>
    <r>
      <t>3</t>
    </r>
    <r>
      <rPr>
        <sz val="9"/>
        <rFont val="Arial"/>
        <family val="2"/>
      </rPr>
      <t xml:space="preserve"> Revenues from mobile and other includes revenues from handheld and mobile devices, as well as non-platform specific game related revenues such as standalone sales of toys and accessories products </t>
    </r>
  </si>
  <si>
    <t xml:space="preserve"> from the Skylanders franchise and other physical merchandise and accessories.</t>
  </si>
  <si>
    <r>
      <t xml:space="preserve">* Revenues from online consist of revenues from all </t>
    </r>
    <r>
      <rPr>
        <i/>
        <sz val="9"/>
        <rFont val="Arial"/>
        <family val="2"/>
      </rPr>
      <t>World of Warcraft</t>
    </r>
    <r>
      <rPr>
        <sz val="9"/>
        <rFont val="Arial"/>
        <family val="2"/>
      </rPr>
      <t xml:space="preserve"> products, including subscriptions, boxed products, expansion packs, licensing royalties, and value-added services, and </t>
    </r>
    <r>
      <rPr>
        <i/>
        <sz val="9"/>
        <rFont val="Arial"/>
        <family val="2"/>
      </rPr>
      <t>Call of Duty Elite</t>
    </r>
    <r>
      <rPr>
        <sz val="9"/>
        <rFont val="Arial"/>
        <family val="2"/>
      </rPr>
      <t xml:space="preserve"> </t>
    </r>
  </si>
  <si>
    <t xml:space="preserve"> memberships.  We have recorded a reduction of revenues of $8 million and $11 million during the three months ended June 30, 2013 and 2012, respectively.  Please refer to footnote 1 on our Form 10-Q </t>
  </si>
  <si>
    <t xml:space="preserve"> for the quarters ended June 30, 2013 and 2012 for further details on this correction.</t>
  </si>
  <si>
    <t>Three Months Ended June 30, 2015</t>
  </si>
  <si>
    <t>Activision Blizzard provides net revenues,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t>
  </si>
  <si>
    <t>Q3 CY15</t>
  </si>
  <si>
    <t>Three Months Ended September 30, 2015</t>
  </si>
  <si>
    <t>* Net revenues from digital online channels represent revenues from digitally distributed subscriptions, licensing royalties, value-added services, downloadable content, micro-transactions, and products.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</si>
</sst>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 numFmtId="294" formatCode="_(&quot;$&quot;* #,##0.00_);_(&quot;$&quot;* \(#,##0.00\);_(&quot;$&quot;* &quot;-&quot;_);_(@_)"/>
  </numFmts>
  <fonts count="290">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u val="doubleAccounting"/>
      <sz val="9"/>
      <name val="Arial"/>
      <family val="2"/>
    </font>
    <font>
      <vertAlign val="superscript"/>
      <sz val="9"/>
      <color theme="1"/>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theme="1"/>
      <name val="Calibri"/>
      <family val="2"/>
      <scheme val="minor"/>
    </font>
    <font>
      <vertAlign val="superscript"/>
      <sz val="9"/>
      <color indexed="8"/>
      <name val="Arial"/>
      <family val="2"/>
    </font>
    <font>
      <i/>
      <sz val="9"/>
      <name val="Arial"/>
      <family val="2"/>
    </font>
    <font>
      <u val="singleAccounting"/>
      <sz val="9"/>
      <color indexed="8"/>
      <name val="Arial"/>
      <family val="2"/>
    </font>
    <font>
      <b/>
      <sz val="9"/>
      <color indexed="8"/>
      <name val="Tahoma"/>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9">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89" fillId="20" borderId="74">
      <alignment vertical="center"/>
    </xf>
  </cellStyleXfs>
  <cellXfs count="713">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165" fontId="1" fillId="2" borderId="0" xfId="1" applyNumberFormat="1"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41" fontId="5" fillId="75" borderId="0" xfId="1" applyNumberFormat="1" applyFont="1" applyFill="1" applyBorder="1" applyAlignment="1"/>
    <xf numFmtId="0" fontId="0" fillId="75" borderId="0" xfId="0" applyFill="1"/>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0" fontId="1" fillId="75" borderId="0" xfId="5"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42" fontId="1" fillId="75" borderId="0" xfId="6" applyNumberFormat="1" applyFont="1" applyFill="1" applyBorder="1" applyAlignment="1">
      <alignment horizontal="center"/>
    </xf>
    <xf numFmtId="165" fontId="1" fillId="75" borderId="0" xfId="6" applyNumberFormat="1" applyFont="1" applyFill="1" applyBorder="1" applyAlignment="1"/>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xf>
    <xf numFmtId="0" fontId="267" fillId="75" borderId="0" xfId="0" applyFont="1" applyFill="1" applyAlignment="1">
      <alignment horizontal="left" indent="1"/>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41" fontId="1" fillId="0" borderId="0" xfId="1" applyNumberFormat="1" applyFont="1" applyFill="1" applyBorder="1" applyAlignment="1">
      <alignment horizontal="right"/>
    </xf>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80"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166" fontId="1" fillId="75" borderId="0" xfId="3" applyNumberFormat="1" applyFont="1" applyFill="1" applyBorder="1"/>
    <xf numFmtId="0" fontId="267" fillId="2" borderId="0" xfId="0" applyFont="1" applyFill="1"/>
    <xf numFmtId="165" fontId="267" fillId="75" borderId="0" xfId="1" applyNumberFormat="1" applyFont="1" applyFill="1"/>
    <xf numFmtId="9" fontId="267"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2" fillId="75" borderId="0" xfId="0" applyNumberFormat="1" applyFont="1" applyFill="1" applyAlignment="1"/>
    <xf numFmtId="9" fontId="267" fillId="75" borderId="0" xfId="3" applyFont="1" applyFill="1" applyAlignment="1">
      <alignment horizontal="right" wrapText="1"/>
    </xf>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3"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2" xfId="0" applyFont="1" applyFill="1" applyBorder="1" applyAlignment="1">
      <alignment horizontal="center"/>
    </xf>
    <xf numFmtId="0" fontId="284"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7" fillId="75" borderId="0" xfId="3" applyNumberFormat="1" applyFont="1" applyFill="1"/>
    <xf numFmtId="9" fontId="1" fillId="75" borderId="0" xfId="3" applyFont="1" applyFill="1" applyBorder="1"/>
    <xf numFmtId="43" fontId="1" fillId="0" borderId="107" xfId="1" quotePrefix="1" applyFont="1" applyFill="1" applyBorder="1" applyAlignment="1">
      <alignment horizontal="right"/>
    </xf>
    <xf numFmtId="43" fontId="1" fillId="0" borderId="22"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107" xfId="6" quotePrefix="1" applyNumberFormat="1" applyFont="1" applyFill="1" applyBorder="1" applyAlignment="1">
      <alignment horizontal="right"/>
    </xf>
    <xf numFmtId="0" fontId="266" fillId="0" borderId="1" xfId="0" applyFont="1" applyFill="1" applyBorder="1" applyAlignment="1">
      <alignment horizontal="center"/>
    </xf>
    <xf numFmtId="0" fontId="267" fillId="0" borderId="0" xfId="0" applyFont="1" applyFill="1"/>
    <xf numFmtId="43" fontId="1" fillId="0" borderId="22" xfId="6" applyNumberFormat="1" applyFont="1" applyFill="1" applyBorder="1" applyAlignment="1">
      <alignment horizontal="right"/>
    </xf>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4355" applyFont="1" applyFill="1"/>
    <xf numFmtId="0" fontId="1" fillId="75" borderId="0" xfId="4355" applyFont="1" applyFill="1" applyAlignment="1">
      <alignment horizontal="center"/>
    </xf>
    <xf numFmtId="164" fontId="1" fillId="75" borderId="93" xfId="4356" applyNumberFormat="1" applyFont="1" applyFill="1" applyBorder="1" applyAlignment="1"/>
    <xf numFmtId="164" fontId="1" fillId="75" borderId="94" xfId="4356" applyNumberFormat="1" applyFont="1" applyFill="1" applyBorder="1" applyAlignment="1"/>
    <xf numFmtId="41" fontId="1" fillId="75" borderId="21" xfId="4356" applyNumberFormat="1" applyFont="1" applyFill="1" applyBorder="1" applyAlignment="1">
      <alignment horizontal="right"/>
    </xf>
    <xf numFmtId="41" fontId="1" fillId="75" borderId="95" xfId="4356" applyNumberFormat="1" applyFont="1" applyFill="1" applyBorder="1" applyAlignment="1">
      <alignment horizontal="right"/>
    </xf>
    <xf numFmtId="0" fontId="1" fillId="75" borderId="0" xfId="4355" applyFont="1" applyFill="1" applyBorder="1"/>
    <xf numFmtId="164" fontId="1" fillId="75" borderId="23" xfId="4355" applyNumberFormat="1" applyFont="1" applyFill="1" applyBorder="1"/>
    <xf numFmtId="164" fontId="1" fillId="75" borderId="1" xfId="4355" applyNumberFormat="1" applyFont="1" applyFill="1" applyBorder="1"/>
    <xf numFmtId="164" fontId="1" fillId="75" borderId="24" xfId="4355" applyNumberFormat="1" applyFont="1" applyFill="1" applyBorder="1" applyAlignment="1">
      <alignment horizontal="center"/>
    </xf>
    <xf numFmtId="164" fontId="1" fillId="75" borderId="96" xfId="4356" applyNumberFormat="1" applyFont="1" applyFill="1" applyBorder="1"/>
    <xf numFmtId="164" fontId="1" fillId="75" borderId="97" xfId="4356" applyNumberFormat="1" applyFont="1" applyFill="1" applyBorder="1"/>
    <xf numFmtId="164" fontId="1" fillId="75" borderId="28" xfId="4355" applyNumberFormat="1" applyFont="1" applyFill="1" applyBorder="1"/>
    <xf numFmtId="164" fontId="1" fillId="75" borderId="2" xfId="4355" applyNumberFormat="1" applyFont="1" applyFill="1" applyBorder="1"/>
    <xf numFmtId="164" fontId="1" fillId="75" borderId="2" xfId="4355" applyNumberFormat="1" applyFont="1" applyFill="1" applyBorder="1" applyAlignment="1">
      <alignment horizontal="center"/>
    </xf>
    <xf numFmtId="164" fontId="1" fillId="75" borderId="29" xfId="4355" applyNumberFormat="1" applyFont="1" applyFill="1" applyBorder="1"/>
    <xf numFmtId="164" fontId="1" fillId="75" borderId="0" xfId="4355" applyNumberFormat="1" applyFont="1" applyFill="1" applyBorder="1"/>
    <xf numFmtId="164" fontId="1" fillId="75" borderId="0" xfId="4355" applyNumberFormat="1" applyFont="1" applyFill="1"/>
    <xf numFmtId="164" fontId="1" fillId="75" borderId="0" xfId="4355" applyNumberFormat="1" applyFont="1" applyFill="1" applyAlignment="1">
      <alignment horizontal="center"/>
    </xf>
    <xf numFmtId="165" fontId="96" fillId="75" borderId="0" xfId="4357" applyNumberFormat="1" applyFont="1" applyFill="1" applyBorder="1" applyAlignment="1">
      <alignment horizontal="right"/>
    </xf>
    <xf numFmtId="164" fontId="1" fillId="75" borderId="21" xfId="4357" applyNumberFormat="1" applyFont="1" applyFill="1" applyBorder="1" applyAlignment="1">
      <alignment horizontal="right"/>
    </xf>
    <xf numFmtId="44" fontId="1" fillId="75" borderId="75" xfId="4356" applyFont="1" applyFill="1" applyBorder="1" applyAlignment="1"/>
    <xf numFmtId="44" fontId="1" fillId="75" borderId="94" xfId="4356" applyFont="1" applyFill="1" applyBorder="1" applyAlignment="1"/>
    <xf numFmtId="164" fontId="1" fillId="75" borderId="0" xfId="4356" applyNumberFormat="1" applyFont="1" applyFill="1" applyBorder="1" applyAlignment="1"/>
    <xf numFmtId="164" fontId="7" fillId="75" borderId="0" xfId="4355" applyNumberFormat="1" applyFont="1" applyFill="1" applyBorder="1" applyAlignment="1">
      <alignment horizontal="right"/>
    </xf>
    <xf numFmtId="41" fontId="1" fillId="75" borderId="21" xfId="4357" applyNumberFormat="1" applyFont="1" applyFill="1" applyBorder="1" applyAlignment="1">
      <alignment horizontal="right"/>
    </xf>
    <xf numFmtId="43" fontId="1" fillId="75" borderId="21" xfId="4357" quotePrefix="1" applyNumberFormat="1" applyFont="1" applyFill="1" applyBorder="1" applyAlignment="1">
      <alignment horizontal="right"/>
    </xf>
    <xf numFmtId="43" fontId="1" fillId="75" borderId="95" xfId="4357" quotePrefix="1" applyNumberFormat="1" applyFont="1" applyFill="1" applyBorder="1" applyAlignment="1">
      <alignment horizontal="right"/>
    </xf>
    <xf numFmtId="222" fontId="1" fillId="75" borderId="0" xfId="4356" applyNumberFormat="1" applyFont="1" applyFill="1" applyBorder="1"/>
    <xf numFmtId="164" fontId="3" fillId="75" borderId="0" xfId="4357" applyNumberFormat="1" applyFont="1" applyFill="1" applyBorder="1" applyAlignment="1"/>
    <xf numFmtId="164" fontId="1" fillId="75" borderId="0" xfId="4357" applyNumberFormat="1" applyFont="1" applyFill="1" applyBorder="1" applyAlignment="1"/>
    <xf numFmtId="164" fontId="1" fillId="75" borderId="19" xfId="4355" applyNumberFormat="1" applyFont="1" applyFill="1" applyBorder="1"/>
    <xf numFmtId="164" fontId="1" fillId="75" borderId="20" xfId="4355" applyNumberFormat="1" applyFont="1" applyFill="1" applyBorder="1" applyAlignment="1">
      <alignment horizontal="center"/>
    </xf>
    <xf numFmtId="44" fontId="1" fillId="75" borderId="25" xfId="4356" quotePrefix="1" applyFont="1" applyFill="1" applyBorder="1" applyAlignment="1">
      <alignment horizontal="right"/>
    </xf>
    <xf numFmtId="44" fontId="1" fillId="75" borderId="97" xfId="4356" quotePrefix="1" applyFont="1" applyFill="1" applyBorder="1" applyAlignment="1">
      <alignment horizontal="right"/>
    </xf>
    <xf numFmtId="164" fontId="1" fillId="75" borderId="30" xfId="4355" applyNumberFormat="1" applyFont="1" applyFill="1" applyBorder="1"/>
    <xf numFmtId="164" fontId="1" fillId="75" borderId="3" xfId="4355" applyNumberFormat="1" applyFont="1" applyFill="1" applyBorder="1"/>
    <xf numFmtId="164" fontId="1" fillId="75" borderId="3" xfId="4355" applyNumberFormat="1" applyFont="1" applyFill="1" applyBorder="1" applyAlignment="1">
      <alignment horizontal="center"/>
    </xf>
    <xf numFmtId="164" fontId="1" fillId="75" borderId="31" xfId="4355" applyNumberFormat="1" applyFont="1" applyFill="1" applyBorder="1"/>
    <xf numFmtId="164" fontId="2" fillId="75" borderId="31" xfId="4355" applyNumberFormat="1" applyFont="1" applyFill="1" applyBorder="1"/>
    <xf numFmtId="164" fontId="2" fillId="75" borderId="32" xfId="4355" applyNumberFormat="1" applyFont="1" applyFill="1" applyBorder="1"/>
    <xf numFmtId="0" fontId="1" fillId="75" borderId="0" xfId="4355" applyFont="1" applyFill="1" applyAlignment="1">
      <alignment horizontal="left"/>
    </xf>
    <xf numFmtId="164" fontId="1" fillId="75" borderId="0" xfId="8" applyNumberFormat="1" applyFont="1" applyFill="1" applyBorder="1" applyAlignment="1">
      <alignment horizontal="right"/>
    </xf>
    <xf numFmtId="0" fontId="1" fillId="75" borderId="0" xfId="8" applyFont="1" applyFill="1" applyAlignment="1"/>
    <xf numFmtId="0" fontId="1" fillId="75" borderId="0" xfId="4355" applyFont="1" applyFill="1" applyAlignment="1"/>
    <xf numFmtId="164" fontId="1" fillId="75" borderId="0" xfId="8" applyNumberFormat="1" applyFont="1" applyFill="1" applyBorder="1" applyAlignment="1"/>
    <xf numFmtId="164" fontId="1" fillId="75" borderId="0" xfId="4355" applyNumberFormat="1" applyFont="1" applyFill="1" applyAlignment="1"/>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0" fontId="1" fillId="75" borderId="0" xfId="11" applyFont="1" applyFill="1" applyAlignment="1">
      <alignment horizontal="left"/>
    </xf>
    <xf numFmtId="0" fontId="3" fillId="75" borderId="0" xfId="8" applyFont="1" applyFill="1" applyBorder="1" applyAlignment="1">
      <alignment horizontal="center"/>
    </xf>
    <xf numFmtId="165" fontId="1" fillId="75" borderId="0" xfId="5" applyNumberFormat="1" applyFont="1" applyFill="1"/>
    <xf numFmtId="165" fontId="1" fillId="75" borderId="0" xfId="5" applyNumberFormat="1" applyFont="1" applyFill="1" applyBorder="1"/>
    <xf numFmtId="10" fontId="0" fillId="75" borderId="0" xfId="3" applyNumberFormat="1" applyFont="1" applyFill="1"/>
    <xf numFmtId="0" fontId="269" fillId="0" borderId="0" xfId="5" applyFont="1" applyFill="1" applyBorder="1"/>
    <xf numFmtId="0" fontId="1" fillId="0" borderId="0" xfId="5" applyFont="1" applyFill="1" applyBorder="1" applyAlignment="1"/>
    <xf numFmtId="0" fontId="269"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3" fillId="2" borderId="0" xfId="0" applyFont="1" applyFill="1" applyAlignment="1">
      <alignment horizontal="center"/>
    </xf>
    <xf numFmtId="0" fontId="3" fillId="2" borderId="0" xfId="0" applyFont="1" applyFill="1" applyBorder="1" applyAlignment="1"/>
    <xf numFmtId="0" fontId="267" fillId="2" borderId="0" xfId="0" applyFont="1" applyFill="1" applyBorder="1"/>
    <xf numFmtId="165" fontId="267" fillId="2" borderId="0" xfId="1" applyNumberFormat="1" applyFont="1" applyFill="1"/>
    <xf numFmtId="165" fontId="267" fillId="0" borderId="0" xfId="1" applyNumberFormat="1" applyFont="1" applyFill="1"/>
    <xf numFmtId="165" fontId="266" fillId="0" borderId="0" xfId="1" applyNumberFormat="1" applyFont="1" applyFill="1"/>
    <xf numFmtId="165" fontId="267" fillId="2" borderId="0" xfId="0" applyNumberFormat="1" applyFont="1" applyFill="1"/>
    <xf numFmtId="166" fontId="266" fillId="75" borderId="0" xfId="3" applyNumberFormat="1" applyFont="1" applyFill="1" applyBorder="1" applyAlignment="1">
      <alignment horizontal="right" wrapText="1"/>
    </xf>
    <xf numFmtId="42" fontId="3" fillId="0" borderId="0" xfId="0" applyNumberFormat="1" applyFont="1" applyFill="1" applyBorder="1" applyAlignment="1"/>
    <xf numFmtId="165" fontId="267" fillId="0" borderId="1" xfId="1" applyNumberFormat="1" applyFont="1" applyFill="1" applyBorder="1"/>
    <xf numFmtId="42" fontId="266" fillId="0" borderId="88" xfId="0" applyNumberFormat="1" applyFont="1" applyFill="1" applyBorder="1"/>
    <xf numFmtId="165" fontId="0" fillId="2" borderId="0" xfId="0" applyNumberFormat="1" applyFill="1"/>
    <xf numFmtId="43" fontId="16" fillId="2" borderId="0" xfId="1" applyNumberFormat="1"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1" fillId="75" borderId="0" xfId="11" applyFont="1" applyFill="1" applyAlignment="1">
      <alignment horizontal="left"/>
    </xf>
    <xf numFmtId="0" fontId="269" fillId="75" borderId="0" xfId="5" applyFont="1" applyFill="1" applyBorder="1" applyAlignment="1">
      <alignment vertical="top"/>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9" fillId="75" borderId="0" xfId="5" applyFont="1" applyFill="1" applyBorder="1" applyAlignment="1">
      <alignment horizontal="left" vertical="top" wrapText="1"/>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3" fillId="75" borderId="0" xfId="8" applyFont="1" applyFill="1" applyBorder="1" applyAlignment="1">
      <alignment horizontal="center"/>
    </xf>
    <xf numFmtId="0" fontId="1" fillId="75" borderId="0" xfId="11" applyFont="1" applyFill="1" applyAlignment="1">
      <alignment horizontal="left"/>
    </xf>
    <xf numFmtId="0" fontId="3" fillId="75" borderId="0" xfId="5" applyFont="1" applyFill="1" applyAlignment="1">
      <alignment horizontal="center"/>
    </xf>
    <xf numFmtId="165" fontId="1" fillId="0" borderId="1" xfId="1" applyNumberFormat="1" applyFont="1" applyFill="1" applyBorder="1" applyAlignment="1"/>
    <xf numFmtId="165" fontId="1" fillId="0" borderId="6" xfId="1" applyNumberFormat="1" applyFont="1" applyFill="1" applyBorder="1" applyAlignment="1">
      <alignment horizontal="center"/>
    </xf>
    <xf numFmtId="165" fontId="1" fillId="0" borderId="0" xfId="1" applyNumberFormat="1" applyFont="1" applyFill="1" applyBorder="1" applyAlignment="1">
      <alignment horizontal="right"/>
    </xf>
    <xf numFmtId="165" fontId="1" fillId="0" borderId="1" xfId="1" applyNumberFormat="1" applyFont="1" applyFill="1" applyBorder="1" applyAlignment="1">
      <alignment horizontal="right"/>
    </xf>
    <xf numFmtId="164" fontId="1" fillId="0" borderId="4" xfId="2" applyNumberFormat="1" applyFont="1" applyFill="1" applyBorder="1" applyAlignment="1"/>
    <xf numFmtId="165" fontId="1" fillId="0" borderId="0" xfId="6" quotePrefix="1" applyNumberFormat="1" applyFont="1" applyFill="1" applyBorder="1" applyAlignment="1">
      <alignment horizontal="right"/>
    </xf>
    <xf numFmtId="164" fontId="1" fillId="0" borderId="26" xfId="2" applyNumberFormat="1" applyFont="1" applyFill="1" applyBorder="1"/>
    <xf numFmtId="164" fontId="1" fillId="0" borderId="31" xfId="10" applyNumberFormat="1" applyFont="1" applyFill="1" applyBorder="1"/>
    <xf numFmtId="164" fontId="1" fillId="0" borderId="32" xfId="10" applyNumberFormat="1" applyFont="1" applyFill="1" applyBorder="1"/>
    <xf numFmtId="164" fontId="1" fillId="0" borderId="0" xfId="10" applyNumberFormat="1" applyFont="1" applyFill="1" applyBorder="1"/>
    <xf numFmtId="0" fontId="3" fillId="0" borderId="15" xfId="8" applyFont="1" applyFill="1" applyBorder="1" applyAlignment="1">
      <alignment horizontal="center" wrapText="1"/>
    </xf>
    <xf numFmtId="164" fontId="1" fillId="0" borderId="17" xfId="2" applyNumberFormat="1" applyFont="1" applyFill="1" applyBorder="1" applyAlignment="1"/>
    <xf numFmtId="165" fontId="1" fillId="0" borderId="20" xfId="6" quotePrefix="1" applyNumberFormat="1" applyFont="1" applyFill="1" applyBorder="1" applyAlignment="1">
      <alignment horizontal="right"/>
    </xf>
    <xf numFmtId="167" fontId="1" fillId="0" borderId="20" xfId="6" quotePrefix="1" applyNumberFormat="1" applyFont="1" applyFill="1" applyBorder="1" applyAlignment="1">
      <alignment horizontal="right"/>
    </xf>
    <xf numFmtId="9" fontId="1" fillId="0" borderId="2" xfId="7" applyFont="1" applyFill="1" applyBorder="1"/>
    <xf numFmtId="164" fontId="1" fillId="0" borderId="0" xfId="10" applyNumberFormat="1" applyFont="1" applyFill="1"/>
    <xf numFmtId="164" fontId="267" fillId="0" borderId="0" xfId="2" applyNumberFormat="1" applyFont="1" applyFill="1" applyAlignment="1">
      <alignment horizontal="right"/>
    </xf>
    <xf numFmtId="165" fontId="267" fillId="0" borderId="0" xfId="1" applyNumberFormat="1" applyFont="1" applyFill="1" applyAlignment="1"/>
    <xf numFmtId="165" fontId="288" fillId="2" borderId="0" xfId="1" applyNumberFormat="1" applyFont="1" applyFill="1"/>
    <xf numFmtId="165" fontId="5" fillId="2" borderId="0" xfId="1" applyNumberFormat="1" applyFont="1" applyFill="1"/>
    <xf numFmtId="165" fontId="288" fillId="0" borderId="0" xfId="1" applyNumberFormat="1" applyFont="1" applyFill="1"/>
    <xf numFmtId="165" fontId="288" fillId="75" borderId="0" xfId="1" applyNumberFormat="1" applyFont="1" applyFill="1"/>
    <xf numFmtId="0" fontId="269" fillId="75" borderId="0" xfId="5" applyFont="1" applyFill="1" applyBorder="1" applyAlignment="1">
      <alignment horizontal="left" vertical="top" wrapText="1"/>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1" fillId="75" borderId="0" xfId="5" applyFont="1" applyFill="1" applyBorder="1" applyAlignment="1">
      <alignment vertical="top"/>
    </xf>
    <xf numFmtId="0" fontId="1" fillId="75" borderId="0" xfId="11" applyFont="1" applyFill="1" applyAlignment="1">
      <alignment horizontal="left"/>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0" borderId="99" xfId="0" applyNumberFormat="1" applyFont="1" applyFill="1" applyBorder="1" applyAlignment="1">
      <alignment horizontal="center" vertic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3" fillId="75" borderId="0" xfId="8" applyFont="1" applyFill="1" applyBorder="1" applyAlignment="1">
      <alignment horizontal="center"/>
    </xf>
    <xf numFmtId="0" fontId="1" fillId="75" borderId="0" xfId="11" applyFont="1" applyFill="1" applyAlignment="1">
      <alignment horizontal="left"/>
    </xf>
    <xf numFmtId="0" fontId="1" fillId="0" borderId="0" xfId="0" applyFont="1" applyFill="1" applyBorder="1" applyAlignment="1">
      <alignment horizontal="left"/>
    </xf>
    <xf numFmtId="41" fontId="1" fillId="0" borderId="0" xfId="0" applyNumberFormat="1" applyFont="1" applyFill="1" applyBorder="1" applyAlignment="1"/>
    <xf numFmtId="0" fontId="1" fillId="75" borderId="0" xfId="5" applyFont="1" applyFill="1" applyBorder="1" applyAlignment="1">
      <alignment horizontal="left" vertical="top" wrapText="1"/>
    </xf>
    <xf numFmtId="0" fontId="1" fillId="75" borderId="0" xfId="5" applyFont="1" applyFill="1" applyBorder="1" applyAlignment="1">
      <alignment horizontal="left" vertical="top"/>
    </xf>
    <xf numFmtId="0" fontId="266" fillId="75" borderId="0" xfId="0" applyNumberFormat="1" applyFont="1" applyFill="1" applyAlignment="1">
      <alignment horizontal="center"/>
    </xf>
    <xf numFmtId="0" fontId="266" fillId="75" borderId="0" xfId="0" applyFont="1" applyFill="1" applyBorder="1" applyAlignment="1">
      <alignment horizontal="center"/>
    </xf>
    <xf numFmtId="165" fontId="1" fillId="0" borderId="0" xfId="5" applyNumberFormat="1" applyFont="1" applyFill="1"/>
    <xf numFmtId="165" fontId="16" fillId="75" borderId="0" xfId="9" applyNumberFormat="1" applyFont="1" applyFill="1"/>
    <xf numFmtId="0" fontId="266" fillId="75" borderId="0" xfId="0" applyNumberFormat="1" applyFont="1" applyFill="1" applyAlignment="1">
      <alignment horizontal="center"/>
    </xf>
    <xf numFmtId="0" fontId="266" fillId="75" borderId="0" xfId="0" applyFont="1" applyFill="1" applyBorder="1" applyAlignment="1">
      <alignment horizontal="center"/>
    </xf>
    <xf numFmtId="44" fontId="0" fillId="2" borderId="0" xfId="2" applyNumberFormat="1" applyFont="1" applyFill="1"/>
    <xf numFmtId="42" fontId="0" fillId="2" borderId="0" xfId="0" applyNumberFormat="1" applyFill="1"/>
    <xf numFmtId="294" fontId="0" fillId="2" borderId="0" xfId="0" applyNumberFormat="1" applyFill="1"/>
    <xf numFmtId="5" fontId="23" fillId="0" borderId="0" xfId="0" applyNumberFormat="1" applyFont="1" applyFill="1" applyBorder="1"/>
    <xf numFmtId="9" fontId="1" fillId="75" borderId="0" xfId="3" applyFont="1" applyFill="1" applyBorder="1" applyAlignment="1"/>
    <xf numFmtId="0" fontId="16" fillId="0" borderId="0" xfId="0" applyFont="1" applyFill="1" applyAlignment="1">
      <alignment horizontal="left" vertical="top" wrapText="1" readingOrder="1"/>
    </xf>
    <xf numFmtId="0" fontId="284" fillId="0" borderId="0" xfId="0" applyFont="1" applyFill="1" applyAlignment="1">
      <alignment vertical="top"/>
    </xf>
    <xf numFmtId="0" fontId="1"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0" fontId="1" fillId="2" borderId="0" xfId="0" applyFont="1" applyFill="1" applyBorder="1" applyAlignment="1">
      <alignment horizontal="left" wrapText="1"/>
    </xf>
    <xf numFmtId="0" fontId="3" fillId="0" borderId="0" xfId="0" applyFont="1" applyFill="1" applyAlignment="1">
      <alignment horizontal="center"/>
    </xf>
    <xf numFmtId="0" fontId="1" fillId="0" borderId="0" xfId="0" applyFont="1" applyFill="1" applyAlignment="1">
      <alignment wrapText="1"/>
    </xf>
    <xf numFmtId="0" fontId="3" fillId="75" borderId="0" xfId="5" applyFont="1" applyFill="1" applyAlignment="1">
      <alignment horizontal="center"/>
    </xf>
    <xf numFmtId="0" fontId="1" fillId="75" borderId="0" xfId="5" applyFont="1" applyFill="1" applyBorder="1" applyAlignment="1">
      <alignment wrapText="1"/>
    </xf>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98" xfId="0" applyNumberFormat="1" applyFont="1" applyFill="1" applyBorder="1" applyAlignment="1">
      <alignment horizontal="center" vertical="center"/>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0" fontId="3" fillId="75" borderId="0" xfId="8" applyFont="1" applyFill="1" applyBorder="1" applyAlignment="1">
      <alignment horizontal="center"/>
    </xf>
    <xf numFmtId="0" fontId="1" fillId="75" borderId="0" xfId="11" applyFont="1" applyFill="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vertical="top" wrapText="1"/>
    </xf>
    <xf numFmtId="0" fontId="1" fillId="75" borderId="0" xfId="11" applyFont="1" applyFill="1" applyAlignment="1">
      <alignment horizontal="left" wrapText="1"/>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55" applyFont="1" applyFill="1" applyAlignment="1">
      <alignment horizontal="left" wrapText="1"/>
    </xf>
  </cellXfs>
  <cellStyles count="4359">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ustomBuiltin="1"/>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OBI_ColHeader" xfId="4358"/>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162980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R31"/>
  <sheetViews>
    <sheetView showGridLines="0" tabSelected="1" zoomScale="90" zoomScaleNormal="90" zoomScaleSheetLayoutView="100" workbookViewId="0">
      <selection activeCell="Z9" sqref="Z9"/>
    </sheetView>
  </sheetViews>
  <sheetFormatPr defaultColWidth="9.140625" defaultRowHeight="12.75"/>
  <cols>
    <col min="1" max="16384" width="9.140625" style="388"/>
  </cols>
  <sheetData>
    <row r="3" spans="1:18" ht="48.75">
      <c r="A3" s="513" t="s">
        <v>36</v>
      </c>
      <c r="N3" s="514"/>
    </row>
    <row r="4" spans="1:18" ht="12" customHeight="1">
      <c r="A4" s="513"/>
      <c r="N4" s="514"/>
    </row>
    <row r="5" spans="1:18" ht="13.5" thickBot="1">
      <c r="A5" s="515"/>
      <c r="B5" s="515"/>
      <c r="C5" s="515"/>
      <c r="D5" s="515"/>
      <c r="E5" s="515"/>
      <c r="F5" s="515"/>
      <c r="G5" s="515"/>
      <c r="H5" s="515"/>
      <c r="I5" s="515"/>
      <c r="J5" s="515"/>
      <c r="K5" s="515"/>
      <c r="L5" s="515"/>
      <c r="M5" s="515"/>
      <c r="N5" s="515"/>
      <c r="O5" s="515"/>
      <c r="P5" s="515"/>
      <c r="Q5" s="515"/>
      <c r="R5" s="515"/>
    </row>
    <row r="6" spans="1:18" ht="6" customHeight="1">
      <c r="A6" s="521"/>
      <c r="B6" s="520"/>
      <c r="C6" s="520"/>
      <c r="D6" s="520"/>
      <c r="E6" s="520"/>
      <c r="F6" s="520"/>
      <c r="G6" s="520"/>
      <c r="H6" s="520"/>
      <c r="I6" s="520"/>
      <c r="J6" s="520"/>
      <c r="K6" s="520"/>
      <c r="L6" s="520"/>
      <c r="M6" s="520"/>
      <c r="N6" s="520"/>
      <c r="O6" s="520"/>
    </row>
    <row r="7" spans="1:18" ht="55.5" customHeight="1">
      <c r="A7" s="681" t="s">
        <v>298</v>
      </c>
      <c r="B7" s="683"/>
      <c r="C7" s="683"/>
      <c r="D7" s="683"/>
      <c r="E7" s="683"/>
      <c r="F7" s="683"/>
      <c r="G7" s="683"/>
      <c r="H7" s="683"/>
      <c r="I7" s="683"/>
      <c r="J7" s="683"/>
      <c r="K7" s="683"/>
      <c r="L7" s="683"/>
      <c r="M7" s="683"/>
      <c r="N7" s="683"/>
      <c r="O7" s="683"/>
      <c r="P7" s="683"/>
      <c r="Q7" s="683"/>
      <c r="R7" s="683"/>
    </row>
    <row r="8" spans="1:18" ht="6" customHeight="1">
      <c r="A8" s="521"/>
      <c r="B8" s="520"/>
      <c r="C8" s="520"/>
      <c r="D8" s="520"/>
      <c r="E8" s="520"/>
      <c r="F8" s="520"/>
      <c r="G8" s="520"/>
      <c r="H8" s="520"/>
      <c r="I8" s="520"/>
      <c r="J8" s="520"/>
      <c r="K8" s="520"/>
      <c r="L8" s="520"/>
      <c r="M8" s="520"/>
      <c r="N8" s="520"/>
      <c r="O8" s="520"/>
    </row>
    <row r="9" spans="1:18" ht="71.25" customHeight="1">
      <c r="A9" s="681" t="s">
        <v>355</v>
      </c>
      <c r="B9" s="683"/>
      <c r="C9" s="683"/>
      <c r="D9" s="683"/>
      <c r="E9" s="683"/>
      <c r="F9" s="683"/>
      <c r="G9" s="683"/>
      <c r="H9" s="683"/>
      <c r="I9" s="683"/>
      <c r="J9" s="683"/>
      <c r="K9" s="683"/>
      <c r="L9" s="683"/>
      <c r="M9" s="683"/>
      <c r="N9" s="683"/>
      <c r="O9" s="683"/>
      <c r="P9" s="683"/>
      <c r="Q9" s="683"/>
      <c r="R9" s="683"/>
    </row>
    <row r="10" spans="1:18" ht="13.5">
      <c r="A10" s="516"/>
      <c r="B10" s="517"/>
      <c r="C10" s="517"/>
      <c r="D10" s="517"/>
      <c r="E10" s="517"/>
      <c r="F10" s="517"/>
      <c r="G10" s="517"/>
      <c r="H10" s="517"/>
      <c r="I10" s="517"/>
      <c r="J10" s="517"/>
      <c r="K10" s="517"/>
      <c r="L10" s="517"/>
      <c r="M10" s="517"/>
      <c r="N10" s="517"/>
      <c r="O10" s="517"/>
    </row>
    <row r="11" spans="1:18" ht="13.5">
      <c r="A11" s="518" t="s">
        <v>343</v>
      </c>
    </row>
    <row r="12" spans="1:18" ht="13.5">
      <c r="A12" s="518" t="s">
        <v>148</v>
      </c>
    </row>
    <row r="13" spans="1:18" ht="26.25" customHeight="1">
      <c r="A13" s="684" t="s">
        <v>201</v>
      </c>
      <c r="B13" s="684"/>
      <c r="C13" s="684"/>
      <c r="D13" s="684"/>
      <c r="E13" s="684"/>
      <c r="F13" s="684"/>
      <c r="G13" s="684"/>
      <c r="H13" s="684"/>
      <c r="I13" s="684"/>
      <c r="J13" s="684"/>
      <c r="K13" s="684"/>
      <c r="L13" s="684"/>
      <c r="M13" s="684"/>
      <c r="N13" s="684"/>
      <c r="O13" s="684"/>
      <c r="P13" s="684"/>
      <c r="Q13" s="684"/>
      <c r="R13" s="684"/>
    </row>
    <row r="14" spans="1:18" ht="28.5" customHeight="1">
      <c r="A14" s="684" t="s">
        <v>208</v>
      </c>
      <c r="B14" s="684"/>
      <c r="C14" s="684"/>
      <c r="D14" s="684"/>
      <c r="E14" s="684"/>
      <c r="F14" s="684"/>
      <c r="G14" s="684"/>
      <c r="H14" s="684"/>
      <c r="I14" s="684"/>
      <c r="J14" s="684"/>
      <c r="K14" s="684"/>
      <c r="L14" s="684"/>
      <c r="M14" s="684"/>
      <c r="N14" s="684"/>
      <c r="O14" s="684"/>
      <c r="P14" s="684"/>
      <c r="Q14" s="684"/>
      <c r="R14" s="684"/>
    </row>
    <row r="15" spans="1:18" ht="13.5">
      <c r="A15" s="518" t="s">
        <v>236</v>
      </c>
    </row>
    <row r="16" spans="1:18" ht="13.5">
      <c r="A16" s="518" t="s">
        <v>290</v>
      </c>
    </row>
    <row r="17" spans="1:18" ht="15.75">
      <c r="A17" s="518" t="s">
        <v>321</v>
      </c>
    </row>
    <row r="18" spans="1:18" ht="13.5">
      <c r="A18" s="518" t="s">
        <v>149</v>
      </c>
    </row>
    <row r="19" spans="1:18" ht="6" customHeight="1">
      <c r="A19" s="521"/>
      <c r="B19" s="520"/>
      <c r="C19" s="520"/>
      <c r="D19" s="520"/>
      <c r="E19" s="520"/>
      <c r="F19" s="520"/>
      <c r="G19" s="520"/>
      <c r="H19" s="520"/>
      <c r="I19" s="520"/>
      <c r="J19" s="520"/>
      <c r="K19" s="520"/>
      <c r="L19" s="520"/>
      <c r="M19" s="520"/>
      <c r="N19" s="520"/>
      <c r="O19" s="520"/>
    </row>
    <row r="20" spans="1:18" ht="391.5" customHeight="1">
      <c r="A20" s="681" t="s">
        <v>344</v>
      </c>
      <c r="B20" s="682"/>
      <c r="C20" s="682"/>
      <c r="D20" s="682"/>
      <c r="E20" s="682"/>
      <c r="F20" s="682"/>
      <c r="G20" s="682"/>
      <c r="H20" s="682"/>
      <c r="I20" s="682"/>
      <c r="J20" s="682"/>
      <c r="K20" s="682"/>
      <c r="L20" s="682"/>
      <c r="M20" s="682"/>
      <c r="N20" s="682"/>
      <c r="O20" s="682"/>
      <c r="P20" s="682"/>
      <c r="Q20" s="682"/>
      <c r="R20" s="682"/>
    </row>
    <row r="21" spans="1:18" ht="6" customHeight="1">
      <c r="A21" s="521"/>
      <c r="B21" s="520"/>
      <c r="C21" s="520"/>
      <c r="D21" s="520"/>
      <c r="E21" s="520"/>
      <c r="F21" s="520"/>
      <c r="G21" s="520"/>
      <c r="H21" s="520"/>
      <c r="I21" s="520"/>
      <c r="J21" s="520"/>
      <c r="K21" s="520"/>
      <c r="L21" s="520"/>
      <c r="M21" s="520"/>
      <c r="N21" s="520"/>
      <c r="O21" s="520"/>
    </row>
    <row r="22" spans="1:18" ht="34.5" customHeight="1">
      <c r="A22" s="681" t="s">
        <v>297</v>
      </c>
      <c r="B22" s="682"/>
      <c r="C22" s="682"/>
      <c r="D22" s="682"/>
      <c r="E22" s="682"/>
      <c r="F22" s="682"/>
      <c r="G22" s="682"/>
      <c r="H22" s="682"/>
      <c r="I22" s="682"/>
      <c r="J22" s="682"/>
      <c r="K22" s="682"/>
      <c r="L22" s="682"/>
      <c r="M22" s="682"/>
      <c r="N22" s="682"/>
      <c r="O22" s="682"/>
      <c r="P22" s="682"/>
      <c r="Q22" s="682"/>
      <c r="R22" s="682"/>
    </row>
    <row r="23" spans="1:18" ht="6" customHeight="1">
      <c r="A23" s="521"/>
      <c r="B23" s="520"/>
      <c r="C23" s="520"/>
      <c r="D23" s="520"/>
      <c r="E23" s="520"/>
      <c r="F23" s="520"/>
      <c r="G23" s="520"/>
      <c r="H23" s="520"/>
      <c r="I23" s="520"/>
      <c r="J23" s="520"/>
      <c r="K23" s="520"/>
      <c r="L23" s="520"/>
      <c r="M23" s="520"/>
      <c r="N23" s="520"/>
      <c r="O23" s="520"/>
    </row>
    <row r="24" spans="1:18" ht="43.5" customHeight="1">
      <c r="A24" s="681" t="s">
        <v>211</v>
      </c>
      <c r="B24" s="682"/>
      <c r="C24" s="682"/>
      <c r="D24" s="682"/>
      <c r="E24" s="682"/>
      <c r="F24" s="682"/>
      <c r="G24" s="682"/>
      <c r="H24" s="682"/>
      <c r="I24" s="682"/>
      <c r="J24" s="682"/>
      <c r="K24" s="682"/>
      <c r="L24" s="682"/>
      <c r="M24" s="682"/>
      <c r="N24" s="682"/>
      <c r="O24" s="682"/>
      <c r="P24" s="682"/>
      <c r="Q24" s="682"/>
      <c r="R24" s="682"/>
    </row>
    <row r="25" spans="1:18" ht="5.25" customHeight="1">
      <c r="A25" s="522"/>
      <c r="B25" s="523"/>
      <c r="C25" s="523"/>
      <c r="D25" s="523"/>
      <c r="E25" s="523"/>
      <c r="F25" s="523"/>
      <c r="G25" s="523"/>
      <c r="H25" s="523"/>
      <c r="I25" s="523"/>
      <c r="J25" s="523"/>
      <c r="K25" s="523"/>
      <c r="L25" s="523"/>
      <c r="M25" s="523"/>
      <c r="N25" s="523"/>
      <c r="O25" s="523"/>
      <c r="P25" s="523"/>
      <c r="Q25" s="523"/>
      <c r="R25" s="523"/>
    </row>
    <row r="26" spans="1:18">
      <c r="A26" s="681" t="s">
        <v>215</v>
      </c>
      <c r="B26" s="682"/>
      <c r="C26" s="682"/>
      <c r="D26" s="682"/>
      <c r="E26" s="682"/>
      <c r="F26" s="682"/>
      <c r="G26" s="682"/>
      <c r="H26" s="682"/>
      <c r="I26" s="682"/>
      <c r="J26" s="682"/>
      <c r="K26" s="682"/>
      <c r="L26" s="682"/>
      <c r="M26" s="682"/>
      <c r="N26" s="682"/>
      <c r="O26" s="682"/>
      <c r="P26" s="682"/>
      <c r="Q26" s="682"/>
      <c r="R26" s="682"/>
    </row>
    <row r="27" spans="1:18" ht="5.25" customHeight="1">
      <c r="A27" s="529"/>
      <c r="B27" s="530"/>
      <c r="C27" s="530"/>
      <c r="D27" s="530"/>
      <c r="E27" s="530"/>
      <c r="F27" s="530"/>
      <c r="G27" s="530"/>
      <c r="H27" s="530"/>
      <c r="I27" s="530"/>
      <c r="J27" s="530"/>
      <c r="K27" s="530"/>
      <c r="L27" s="530"/>
      <c r="M27" s="530"/>
      <c r="N27" s="530"/>
      <c r="O27" s="530"/>
      <c r="P27" s="530"/>
      <c r="Q27" s="530"/>
      <c r="R27" s="530"/>
    </row>
    <row r="28" spans="1:18" s="524" customFormat="1" ht="51.75" customHeight="1">
      <c r="A28" s="678" t="s">
        <v>296</v>
      </c>
      <c r="B28" s="679"/>
      <c r="C28" s="679"/>
      <c r="D28" s="679"/>
      <c r="E28" s="679"/>
      <c r="F28" s="679"/>
      <c r="G28" s="679"/>
      <c r="H28" s="679"/>
      <c r="I28" s="679"/>
      <c r="J28" s="679"/>
      <c r="K28" s="679"/>
      <c r="L28" s="679"/>
      <c r="M28" s="679"/>
      <c r="N28" s="679"/>
      <c r="O28" s="679"/>
      <c r="P28" s="679"/>
      <c r="Q28" s="679"/>
      <c r="R28" s="679"/>
    </row>
    <row r="29" spans="1:18" s="524" customFormat="1">
      <c r="A29" s="678" t="s">
        <v>322</v>
      </c>
      <c r="B29" s="679"/>
      <c r="C29" s="679"/>
      <c r="D29" s="679"/>
      <c r="E29" s="679"/>
      <c r="F29" s="679"/>
      <c r="G29" s="679"/>
      <c r="H29" s="679"/>
      <c r="I29" s="679"/>
      <c r="J29" s="679"/>
      <c r="K29" s="679"/>
      <c r="L29" s="679"/>
      <c r="M29" s="679"/>
      <c r="N29" s="679"/>
      <c r="O29" s="679"/>
      <c r="P29" s="679"/>
      <c r="Q29" s="679"/>
      <c r="R29" s="679"/>
    </row>
    <row r="30" spans="1:18">
      <c r="A30" s="678" t="s">
        <v>323</v>
      </c>
      <c r="B30" s="680"/>
      <c r="C30" s="680"/>
      <c r="D30" s="680"/>
      <c r="E30" s="680"/>
      <c r="F30" s="680"/>
      <c r="G30" s="680"/>
      <c r="H30" s="680"/>
      <c r="I30" s="680"/>
      <c r="J30" s="680"/>
      <c r="K30" s="680"/>
      <c r="L30" s="680"/>
      <c r="M30" s="680"/>
      <c r="N30" s="680"/>
      <c r="O30" s="680"/>
      <c r="P30" s="680"/>
      <c r="Q30" s="680"/>
      <c r="R30" s="680"/>
    </row>
    <row r="31" spans="1:18" ht="13.5">
      <c r="A31" s="519"/>
      <c r="B31" s="520"/>
      <c r="C31" s="520"/>
      <c r="D31" s="520"/>
      <c r="E31" s="520"/>
      <c r="F31" s="520"/>
      <c r="G31" s="520"/>
      <c r="H31" s="520"/>
      <c r="I31" s="520"/>
      <c r="J31" s="520"/>
      <c r="K31" s="520"/>
      <c r="L31" s="520"/>
      <c r="M31" s="520"/>
      <c r="N31" s="520"/>
      <c r="O31" s="520"/>
      <c r="P31" s="520"/>
      <c r="Q31" s="520"/>
      <c r="R31" s="520"/>
    </row>
  </sheetData>
  <mergeCells count="11">
    <mergeCell ref="A28:R28"/>
    <mergeCell ref="A30:R30"/>
    <mergeCell ref="A24:R24"/>
    <mergeCell ref="A7:R7"/>
    <mergeCell ref="A20:R20"/>
    <mergeCell ref="A22:R22"/>
    <mergeCell ref="A13:R13"/>
    <mergeCell ref="A14:R14"/>
    <mergeCell ref="A9:R9"/>
    <mergeCell ref="A26:R26"/>
    <mergeCell ref="A29:R29"/>
  </mergeCells>
  <phoneticPr fontId="14" type="noConversion"/>
  <pageMargins left="0.7" right="0.7" top="0.25" bottom="0.44" header="0.3" footer="0.3"/>
  <pageSetup scale="58" orientation="landscape" r:id="rId1"/>
  <headerFooter>
    <oddFooter>&amp;LActivision Blizzard, Inc.&amp;R&amp;P of &amp; 25</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G21"/>
  <sheetViews>
    <sheetView showGridLines="0" view="pageBreakPreview" zoomScaleNormal="100" zoomScaleSheetLayoutView="100" workbookViewId="0">
      <pane xSplit="3" ySplit="8" topLeftCell="D9" activePane="bottomRight" state="frozen"/>
      <selection pane="topRight" activeCell="D1" sqref="D1"/>
      <selection pane="bottomLeft" activeCell="A9" sqref="A9"/>
      <selection pane="bottomRight" activeCell="AF21" sqref="AF21"/>
    </sheetView>
  </sheetViews>
  <sheetFormatPr defaultColWidth="9.140625" defaultRowHeight="12"/>
  <cols>
    <col min="1" max="1" width="2.140625" style="68" customWidth="1"/>
    <col min="2" max="2" width="30.7109375" style="68" customWidth="1"/>
    <col min="3" max="3" width="2.5703125" style="68" customWidth="1"/>
    <col min="4" max="32" width="8.7109375" style="68" customWidth="1"/>
    <col min="33" max="33" width="1.140625" style="68" customWidth="1"/>
    <col min="34" max="16384" width="9.140625" style="68"/>
  </cols>
  <sheetData>
    <row r="1" spans="1:33" ht="15" customHeight="1">
      <c r="B1" s="692" t="s">
        <v>155</v>
      </c>
      <c r="C1" s="692"/>
      <c r="D1" s="692"/>
      <c r="E1" s="692"/>
      <c r="F1" s="692"/>
      <c r="G1" s="692"/>
      <c r="H1" s="692"/>
      <c r="I1" s="692"/>
      <c r="J1" s="692"/>
      <c r="K1" s="692"/>
      <c r="L1" s="692"/>
      <c r="M1" s="692"/>
      <c r="N1" s="692"/>
      <c r="O1" s="692"/>
      <c r="P1" s="692"/>
      <c r="Q1" s="692"/>
      <c r="R1" s="692"/>
      <c r="S1" s="692"/>
      <c r="T1" s="692"/>
      <c r="U1" s="692"/>
      <c r="V1" s="692"/>
      <c r="W1" s="692"/>
      <c r="X1" s="692"/>
      <c r="Y1" s="692"/>
      <c r="Z1" s="692"/>
      <c r="AA1" s="692"/>
      <c r="AB1" s="692"/>
      <c r="AC1" s="692"/>
      <c r="AD1" s="692"/>
      <c r="AE1" s="692"/>
      <c r="AF1" s="692"/>
      <c r="AG1" s="692"/>
    </row>
    <row r="2" spans="1:33">
      <c r="B2" s="692" t="s">
        <v>250</v>
      </c>
      <c r="C2" s="692"/>
      <c r="D2" s="692"/>
      <c r="E2" s="692"/>
      <c r="F2" s="692"/>
      <c r="G2" s="692"/>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2"/>
    </row>
    <row r="3" spans="1:33" s="80" customFormat="1">
      <c r="B3" s="692" t="s">
        <v>74</v>
      </c>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row>
    <row r="4" spans="1:33">
      <c r="B4" s="612"/>
      <c r="C4" s="612"/>
      <c r="D4" s="612"/>
      <c r="E4" s="612"/>
      <c r="F4" s="612"/>
      <c r="G4" s="612"/>
      <c r="H4" s="612"/>
      <c r="I4" s="612"/>
      <c r="J4" s="612"/>
      <c r="K4" s="612"/>
      <c r="L4" s="612"/>
      <c r="M4" s="612"/>
      <c r="N4" s="612"/>
      <c r="O4" s="612"/>
      <c r="P4" s="612"/>
      <c r="Q4" s="612"/>
      <c r="R4" s="612"/>
      <c r="S4" s="612"/>
      <c r="T4" s="612"/>
      <c r="U4" s="612"/>
      <c r="V4" s="612"/>
      <c r="W4" s="612"/>
      <c r="X4" s="612"/>
      <c r="Y4" s="618"/>
      <c r="Z4" s="621"/>
      <c r="AA4" s="649"/>
      <c r="AB4" s="651"/>
      <c r="AC4" s="656"/>
      <c r="AD4" s="659"/>
      <c r="AE4" s="667"/>
      <c r="AF4" s="671"/>
    </row>
    <row r="5" spans="1:33">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row>
    <row r="6" spans="1:33" ht="15" customHeight="1">
      <c r="A6" s="80"/>
      <c r="B6" s="507"/>
      <c r="C6" s="613"/>
      <c r="D6" s="613"/>
      <c r="E6" s="613"/>
      <c r="F6" s="613"/>
      <c r="G6" s="613"/>
      <c r="H6" s="613"/>
      <c r="I6" s="613"/>
      <c r="J6" s="613"/>
      <c r="K6" s="613"/>
      <c r="L6" s="613"/>
      <c r="M6" s="613"/>
      <c r="N6" s="613"/>
      <c r="O6" s="613"/>
      <c r="P6" s="613"/>
      <c r="Q6" s="613"/>
      <c r="R6" s="613"/>
      <c r="S6" s="613"/>
      <c r="T6" s="613"/>
      <c r="U6" s="613"/>
      <c r="V6" s="613"/>
      <c r="W6" s="613"/>
      <c r="X6" s="613"/>
      <c r="Y6" s="619"/>
      <c r="Z6" s="622"/>
      <c r="AA6" s="650"/>
      <c r="AB6" s="652"/>
      <c r="AC6" s="657"/>
      <c r="AD6" s="660"/>
      <c r="AE6" s="668"/>
      <c r="AF6" s="672"/>
    </row>
    <row r="7" spans="1:33" ht="15" customHeight="1">
      <c r="A7" s="80"/>
      <c r="B7" s="507"/>
      <c r="C7" s="613"/>
      <c r="D7" s="19" t="s">
        <v>5</v>
      </c>
      <c r="E7" s="19" t="s">
        <v>6</v>
      </c>
      <c r="F7" s="19" t="s">
        <v>3</v>
      </c>
      <c r="G7" s="19" t="s">
        <v>4</v>
      </c>
      <c r="H7" s="19" t="s">
        <v>5</v>
      </c>
      <c r="I7" s="19" t="s">
        <v>6</v>
      </c>
      <c r="J7" s="19" t="s">
        <v>3</v>
      </c>
      <c r="K7" s="19" t="s">
        <v>4</v>
      </c>
      <c r="L7" s="19" t="s">
        <v>5</v>
      </c>
      <c r="M7" s="19" t="s">
        <v>6</v>
      </c>
      <c r="N7" s="19" t="s">
        <v>3</v>
      </c>
      <c r="O7" s="19" t="s">
        <v>4</v>
      </c>
      <c r="P7" s="19" t="s">
        <v>5</v>
      </c>
      <c r="Q7" s="19" t="s">
        <v>6</v>
      </c>
      <c r="R7" s="19" t="s">
        <v>3</v>
      </c>
      <c r="S7" s="19" t="s">
        <v>4</v>
      </c>
      <c r="T7" s="19" t="s">
        <v>5</v>
      </c>
      <c r="U7" s="19" t="s">
        <v>6</v>
      </c>
      <c r="V7" s="19" t="s">
        <v>3</v>
      </c>
      <c r="W7" s="19" t="s">
        <v>4</v>
      </c>
      <c r="X7" s="19" t="s">
        <v>5</v>
      </c>
      <c r="Y7" s="19" t="s">
        <v>6</v>
      </c>
      <c r="Z7" s="19" t="s">
        <v>3</v>
      </c>
      <c r="AA7" s="19" t="s">
        <v>4</v>
      </c>
      <c r="AB7" s="19" t="s">
        <v>5</v>
      </c>
      <c r="AC7" s="19" t="s">
        <v>6</v>
      </c>
      <c r="AD7" s="19" t="s">
        <v>3</v>
      </c>
      <c r="AE7" s="19" t="s">
        <v>4</v>
      </c>
      <c r="AF7" s="19" t="s">
        <v>5</v>
      </c>
    </row>
    <row r="8" spans="1:33" ht="12.75" thickBot="1">
      <c r="B8" s="371"/>
      <c r="C8" s="611"/>
      <c r="D8" s="45" t="s">
        <v>43</v>
      </c>
      <c r="E8" s="45" t="s">
        <v>43</v>
      </c>
      <c r="F8" s="45" t="s">
        <v>44</v>
      </c>
      <c r="G8" s="45" t="s">
        <v>44</v>
      </c>
      <c r="H8" s="45" t="s">
        <v>44</v>
      </c>
      <c r="I8" s="45" t="s">
        <v>44</v>
      </c>
      <c r="J8" s="45" t="s">
        <v>45</v>
      </c>
      <c r="K8" s="45" t="s">
        <v>45</v>
      </c>
      <c r="L8" s="45" t="s">
        <v>45</v>
      </c>
      <c r="M8" s="45" t="s">
        <v>45</v>
      </c>
      <c r="N8" s="45" t="s">
        <v>46</v>
      </c>
      <c r="O8" s="45" t="s">
        <v>46</v>
      </c>
      <c r="P8" s="45" t="s">
        <v>46</v>
      </c>
      <c r="Q8" s="45" t="s">
        <v>46</v>
      </c>
      <c r="R8" s="45" t="s">
        <v>237</v>
      </c>
      <c r="S8" s="45" t="s">
        <v>237</v>
      </c>
      <c r="T8" s="45" t="s">
        <v>237</v>
      </c>
      <c r="U8" s="45" t="s">
        <v>237</v>
      </c>
      <c r="V8" s="45" t="s">
        <v>264</v>
      </c>
      <c r="W8" s="45" t="s">
        <v>264</v>
      </c>
      <c r="X8" s="45" t="s">
        <v>264</v>
      </c>
      <c r="Y8" s="45" t="s">
        <v>264</v>
      </c>
      <c r="Z8" s="45" t="s">
        <v>307</v>
      </c>
      <c r="AA8" s="45" t="s">
        <v>307</v>
      </c>
      <c r="AB8" s="45" t="s">
        <v>307</v>
      </c>
      <c r="AC8" s="45" t="s">
        <v>307</v>
      </c>
      <c r="AD8" s="45" t="s">
        <v>332</v>
      </c>
      <c r="AE8" s="45" t="s">
        <v>332</v>
      </c>
      <c r="AF8" s="45" t="s">
        <v>332</v>
      </c>
    </row>
    <row r="9" spans="1:33">
      <c r="B9" s="372" t="s">
        <v>205</v>
      </c>
      <c r="C9" s="370"/>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row>
    <row r="10" spans="1:33">
      <c r="B10" s="374" t="s">
        <v>206</v>
      </c>
      <c r="C10" s="370"/>
      <c r="D10" s="75">
        <v>-97</v>
      </c>
      <c r="E10" s="75">
        <v>254</v>
      </c>
      <c r="F10" s="75">
        <v>327</v>
      </c>
      <c r="G10" s="75">
        <v>-118</v>
      </c>
      <c r="H10" s="75">
        <v>161</v>
      </c>
      <c r="I10" s="75">
        <v>813</v>
      </c>
      <c r="J10" s="75">
        <v>227</v>
      </c>
      <c r="K10" s="75">
        <v>-26</v>
      </c>
      <c r="L10" s="75">
        <v>182</v>
      </c>
      <c r="M10" s="75">
        <v>993</v>
      </c>
      <c r="N10" s="75">
        <v>134</v>
      </c>
      <c r="O10" s="75">
        <v>-78</v>
      </c>
      <c r="P10" s="75">
        <v>46</v>
      </c>
      <c r="Q10" s="75">
        <v>850</v>
      </c>
      <c r="R10" s="75">
        <v>154</v>
      </c>
      <c r="S10" s="75">
        <v>93</v>
      </c>
      <c r="T10" s="75">
        <v>122</v>
      </c>
      <c r="U10" s="75">
        <v>976</v>
      </c>
      <c r="V10" s="75">
        <v>325</v>
      </c>
      <c r="W10" s="75">
        <v>109</v>
      </c>
      <c r="X10" s="75">
        <v>-50</v>
      </c>
      <c r="Y10" s="75">
        <v>880</v>
      </c>
      <c r="Z10" s="642">
        <v>136</v>
      </c>
      <c r="AA10" s="642">
        <v>106</v>
      </c>
      <c r="AB10" s="642">
        <v>-145</v>
      </c>
      <c r="AC10" s="642">
        <v>1195</v>
      </c>
      <c r="AD10" s="642">
        <v>209</v>
      </c>
      <c r="AE10" s="642">
        <v>135</v>
      </c>
      <c r="AF10" s="642">
        <v>-181</v>
      </c>
      <c r="AG10" s="535"/>
    </row>
    <row r="11" spans="1:33">
      <c r="B11" s="374" t="s">
        <v>245</v>
      </c>
      <c r="C11" s="370"/>
      <c r="D11" s="384">
        <v>10</v>
      </c>
      <c r="E11" s="384">
        <v>22</v>
      </c>
      <c r="F11" s="384">
        <v>10</v>
      </c>
      <c r="G11" s="384">
        <v>14</v>
      </c>
      <c r="H11" s="384">
        <v>17</v>
      </c>
      <c r="I11" s="384">
        <v>28</v>
      </c>
      <c r="J11" s="384">
        <v>12</v>
      </c>
      <c r="K11" s="384">
        <v>27</v>
      </c>
      <c r="L11" s="384">
        <v>37</v>
      </c>
      <c r="M11" s="384">
        <v>21</v>
      </c>
      <c r="N11" s="384">
        <v>4</v>
      </c>
      <c r="O11" s="384">
        <v>14</v>
      </c>
      <c r="P11" s="384">
        <v>29</v>
      </c>
      <c r="Q11" s="384">
        <v>25</v>
      </c>
      <c r="R11" s="384">
        <v>8</v>
      </c>
      <c r="S11" s="384">
        <v>17</v>
      </c>
      <c r="T11" s="384">
        <v>21</v>
      </c>
      <c r="U11" s="384">
        <v>27</v>
      </c>
      <c r="V11" s="384">
        <v>17</v>
      </c>
      <c r="W11" s="384">
        <v>19</v>
      </c>
      <c r="X11" s="384">
        <v>22</v>
      </c>
      <c r="Y11" s="384">
        <v>16</v>
      </c>
      <c r="Z11" s="643">
        <v>37</v>
      </c>
      <c r="AA11" s="643">
        <v>25</v>
      </c>
      <c r="AB11" s="643">
        <v>28</v>
      </c>
      <c r="AC11" s="643">
        <v>17</v>
      </c>
      <c r="AD11" s="643">
        <v>21</v>
      </c>
      <c r="AE11" s="643">
        <v>28</v>
      </c>
      <c r="AF11" s="643">
        <v>46</v>
      </c>
      <c r="AG11" s="535"/>
    </row>
    <row r="12" spans="1:33">
      <c r="B12" s="374" t="s">
        <v>223</v>
      </c>
      <c r="C12" s="370"/>
      <c r="D12" s="75">
        <f t="shared" ref="D12:X12" si="0">D10-D11</f>
        <v>-107</v>
      </c>
      <c r="E12" s="75">
        <f t="shared" si="0"/>
        <v>232</v>
      </c>
      <c r="F12" s="75">
        <f t="shared" si="0"/>
        <v>317</v>
      </c>
      <c r="G12" s="75">
        <f t="shared" si="0"/>
        <v>-132</v>
      </c>
      <c r="H12" s="75">
        <f t="shared" si="0"/>
        <v>144</v>
      </c>
      <c r="I12" s="75">
        <f t="shared" si="0"/>
        <v>785</v>
      </c>
      <c r="J12" s="75">
        <f t="shared" si="0"/>
        <v>215</v>
      </c>
      <c r="K12" s="75">
        <f t="shared" si="0"/>
        <v>-53</v>
      </c>
      <c r="L12" s="75">
        <f t="shared" si="0"/>
        <v>145</v>
      </c>
      <c r="M12" s="75">
        <f t="shared" si="0"/>
        <v>972</v>
      </c>
      <c r="N12" s="75">
        <f t="shared" si="0"/>
        <v>130</v>
      </c>
      <c r="O12" s="75">
        <f t="shared" si="0"/>
        <v>-92</v>
      </c>
      <c r="P12" s="75">
        <f t="shared" si="0"/>
        <v>17</v>
      </c>
      <c r="Q12" s="75">
        <f t="shared" si="0"/>
        <v>825</v>
      </c>
      <c r="R12" s="75">
        <f t="shared" si="0"/>
        <v>146</v>
      </c>
      <c r="S12" s="75">
        <f t="shared" si="0"/>
        <v>76</v>
      </c>
      <c r="T12" s="75">
        <f t="shared" si="0"/>
        <v>101</v>
      </c>
      <c r="U12" s="75">
        <f t="shared" si="0"/>
        <v>949</v>
      </c>
      <c r="V12" s="75">
        <f t="shared" si="0"/>
        <v>308</v>
      </c>
      <c r="W12" s="75">
        <f t="shared" si="0"/>
        <v>90</v>
      </c>
      <c r="X12" s="75">
        <f t="shared" si="0"/>
        <v>-72</v>
      </c>
      <c r="Y12" s="75">
        <f t="shared" ref="Y12:Z12" si="1">Y10-Y11</f>
        <v>864</v>
      </c>
      <c r="Z12" s="642">
        <f t="shared" si="1"/>
        <v>99</v>
      </c>
      <c r="AA12" s="642">
        <f t="shared" ref="AA12:AB12" si="2">AA10-AA11</f>
        <v>81</v>
      </c>
      <c r="AB12" s="642">
        <f t="shared" si="2"/>
        <v>-173</v>
      </c>
      <c r="AC12" s="642">
        <f t="shared" ref="AC12:AD12" si="3">AC10-AC11</f>
        <v>1178</v>
      </c>
      <c r="AD12" s="642">
        <f t="shared" si="3"/>
        <v>188</v>
      </c>
      <c r="AE12" s="642">
        <f t="shared" ref="AE12" si="4">AE10-AE11</f>
        <v>107</v>
      </c>
      <c r="AF12" s="642">
        <f>AF10-AF11</f>
        <v>-227</v>
      </c>
    </row>
    <row r="14" spans="1:33">
      <c r="B14" s="374" t="s">
        <v>287</v>
      </c>
      <c r="D14" s="75"/>
      <c r="E14" s="75"/>
      <c r="F14" s="75"/>
      <c r="G14" s="75">
        <f>SUM(D10:G10)</f>
        <v>366</v>
      </c>
      <c r="H14" s="75">
        <f>SUM(E10:H10)</f>
        <v>624</v>
      </c>
      <c r="I14" s="75">
        <f t="shared" ref="I14:Z14" si="5">SUM(F10:I10)</f>
        <v>1183</v>
      </c>
      <c r="J14" s="75">
        <f t="shared" si="5"/>
        <v>1083</v>
      </c>
      <c r="K14" s="75">
        <f t="shared" si="5"/>
        <v>1175</v>
      </c>
      <c r="L14" s="75">
        <f t="shared" si="5"/>
        <v>1196</v>
      </c>
      <c r="M14" s="75">
        <f t="shared" si="5"/>
        <v>1376</v>
      </c>
      <c r="N14" s="75">
        <f t="shared" si="5"/>
        <v>1283</v>
      </c>
      <c r="O14" s="75">
        <f t="shared" si="5"/>
        <v>1231</v>
      </c>
      <c r="P14" s="75">
        <f t="shared" si="5"/>
        <v>1095</v>
      </c>
      <c r="Q14" s="75">
        <f t="shared" si="5"/>
        <v>952</v>
      </c>
      <c r="R14" s="75">
        <f t="shared" si="5"/>
        <v>972</v>
      </c>
      <c r="S14" s="75">
        <f t="shared" si="5"/>
        <v>1143</v>
      </c>
      <c r="T14" s="75">
        <f t="shared" si="5"/>
        <v>1219</v>
      </c>
      <c r="U14" s="75">
        <f t="shared" si="5"/>
        <v>1345</v>
      </c>
      <c r="V14" s="75">
        <f t="shared" si="5"/>
        <v>1516</v>
      </c>
      <c r="W14" s="75">
        <f t="shared" si="5"/>
        <v>1532</v>
      </c>
      <c r="X14" s="75">
        <f t="shared" si="5"/>
        <v>1360</v>
      </c>
      <c r="Y14" s="75">
        <f t="shared" si="5"/>
        <v>1264</v>
      </c>
      <c r="Z14" s="75">
        <f t="shared" si="5"/>
        <v>1075</v>
      </c>
      <c r="AA14" s="75">
        <f t="shared" ref="AA14:AC15" si="6">SUM(X10:AA10)</f>
        <v>1072</v>
      </c>
      <c r="AB14" s="75">
        <f t="shared" si="6"/>
        <v>977</v>
      </c>
      <c r="AC14" s="75">
        <f t="shared" si="6"/>
        <v>1292</v>
      </c>
      <c r="AD14" s="642">
        <f t="shared" ref="AD14:AE15" si="7">SUM(AA10:AD10)</f>
        <v>1365</v>
      </c>
      <c r="AE14" s="642">
        <f t="shared" si="7"/>
        <v>1394</v>
      </c>
      <c r="AF14" s="642">
        <f>SUM(AC10:AF10)</f>
        <v>1358</v>
      </c>
    </row>
    <row r="15" spans="1:33">
      <c r="B15" s="374" t="s">
        <v>288</v>
      </c>
      <c r="G15" s="384">
        <f>SUM(D11:G11)</f>
        <v>56</v>
      </c>
      <c r="H15" s="384">
        <f>SUM(E11:H11)</f>
        <v>63</v>
      </c>
      <c r="I15" s="384">
        <f t="shared" ref="I15:Z15" si="8">SUM(F11:I11)</f>
        <v>69</v>
      </c>
      <c r="J15" s="384">
        <f t="shared" si="8"/>
        <v>71</v>
      </c>
      <c r="K15" s="384">
        <f t="shared" si="8"/>
        <v>84</v>
      </c>
      <c r="L15" s="384">
        <f t="shared" si="8"/>
        <v>104</v>
      </c>
      <c r="M15" s="384">
        <f t="shared" si="8"/>
        <v>97</v>
      </c>
      <c r="N15" s="384">
        <f t="shared" si="8"/>
        <v>89</v>
      </c>
      <c r="O15" s="384">
        <f t="shared" si="8"/>
        <v>76</v>
      </c>
      <c r="P15" s="384">
        <f t="shared" si="8"/>
        <v>68</v>
      </c>
      <c r="Q15" s="384">
        <f t="shared" si="8"/>
        <v>72</v>
      </c>
      <c r="R15" s="384">
        <f t="shared" si="8"/>
        <v>76</v>
      </c>
      <c r="S15" s="384">
        <f t="shared" si="8"/>
        <v>79</v>
      </c>
      <c r="T15" s="384">
        <f t="shared" si="8"/>
        <v>71</v>
      </c>
      <c r="U15" s="384">
        <f t="shared" si="8"/>
        <v>73</v>
      </c>
      <c r="V15" s="384">
        <f t="shared" si="8"/>
        <v>82</v>
      </c>
      <c r="W15" s="384">
        <f t="shared" si="8"/>
        <v>84</v>
      </c>
      <c r="X15" s="384">
        <f t="shared" si="8"/>
        <v>85</v>
      </c>
      <c r="Y15" s="384">
        <f t="shared" si="8"/>
        <v>74</v>
      </c>
      <c r="Z15" s="384">
        <f t="shared" si="8"/>
        <v>94</v>
      </c>
      <c r="AA15" s="384">
        <f t="shared" si="6"/>
        <v>100</v>
      </c>
      <c r="AB15" s="384">
        <f t="shared" si="6"/>
        <v>106</v>
      </c>
      <c r="AC15" s="384">
        <f t="shared" si="6"/>
        <v>107</v>
      </c>
      <c r="AD15" s="643">
        <f t="shared" si="7"/>
        <v>91</v>
      </c>
      <c r="AE15" s="643">
        <f t="shared" si="7"/>
        <v>94</v>
      </c>
      <c r="AF15" s="643">
        <f>SUM(AC11:AF11)</f>
        <v>112</v>
      </c>
    </row>
    <row r="16" spans="1:33">
      <c r="B16" s="374" t="s">
        <v>289</v>
      </c>
      <c r="G16" s="75">
        <f t="shared" ref="G16" si="9">G14-G15</f>
        <v>310</v>
      </c>
      <c r="H16" s="75">
        <f t="shared" ref="H16" si="10">H14-H15</f>
        <v>561</v>
      </c>
      <c r="I16" s="75">
        <f t="shared" ref="I16" si="11">I14-I15</f>
        <v>1114</v>
      </c>
      <c r="J16" s="75">
        <f t="shared" ref="J16" si="12">J14-J15</f>
        <v>1012</v>
      </c>
      <c r="K16" s="75">
        <f t="shared" ref="K16" si="13">K14-K15</f>
        <v>1091</v>
      </c>
      <c r="L16" s="75">
        <f t="shared" ref="L16" si="14">L14-L15</f>
        <v>1092</v>
      </c>
      <c r="M16" s="75">
        <f t="shared" ref="M16" si="15">M14-M15</f>
        <v>1279</v>
      </c>
      <c r="N16" s="75">
        <f t="shared" ref="N16" si="16">N14-N15</f>
        <v>1194</v>
      </c>
      <c r="O16" s="75">
        <f t="shared" ref="O16" si="17">O14-O15</f>
        <v>1155</v>
      </c>
      <c r="P16" s="75">
        <f t="shared" ref="P16" si="18">P14-P15</f>
        <v>1027</v>
      </c>
      <c r="Q16" s="75">
        <f t="shared" ref="Q16" si="19">Q14-Q15</f>
        <v>880</v>
      </c>
      <c r="R16" s="75">
        <f t="shared" ref="R16" si="20">R14-R15</f>
        <v>896</v>
      </c>
      <c r="S16" s="75">
        <f t="shared" ref="S16" si="21">S14-S15</f>
        <v>1064</v>
      </c>
      <c r="T16" s="75">
        <f t="shared" ref="T16" si="22">T14-T15</f>
        <v>1148</v>
      </c>
      <c r="U16" s="75">
        <f t="shared" ref="U16" si="23">U14-U15</f>
        <v>1272</v>
      </c>
      <c r="V16" s="75">
        <f t="shared" ref="V16" si="24">V14-V15</f>
        <v>1434</v>
      </c>
      <c r="W16" s="75">
        <f t="shared" ref="W16" si="25">W14-W15</f>
        <v>1448</v>
      </c>
      <c r="X16" s="75">
        <f t="shared" ref="X16:Y16" si="26">X14-X15</f>
        <v>1275</v>
      </c>
      <c r="Y16" s="75">
        <f t="shared" si="26"/>
        <v>1190</v>
      </c>
      <c r="Z16" s="75">
        <f t="shared" ref="Z16" si="27">Z14-Z15</f>
        <v>981</v>
      </c>
      <c r="AA16" s="75">
        <f t="shared" ref="AA16:AE16" si="28">AA14-AA15</f>
        <v>972</v>
      </c>
      <c r="AB16" s="75">
        <f t="shared" si="28"/>
        <v>871</v>
      </c>
      <c r="AC16" s="75">
        <f t="shared" si="28"/>
        <v>1185</v>
      </c>
      <c r="AD16" s="75">
        <f t="shared" si="28"/>
        <v>1274</v>
      </c>
      <c r="AE16" s="75">
        <f t="shared" si="28"/>
        <v>1300</v>
      </c>
      <c r="AF16" s="75">
        <f>AF14-AF15</f>
        <v>1246</v>
      </c>
    </row>
    <row r="19" spans="2:2">
      <c r="B19" s="68" t="s">
        <v>317</v>
      </c>
    </row>
    <row r="21" spans="2:2">
      <c r="B21" s="68" t="s">
        <v>266</v>
      </c>
    </row>
  </sheetData>
  <mergeCells count="3">
    <mergeCell ref="B1:AG1"/>
    <mergeCell ref="B2:AG2"/>
    <mergeCell ref="B3:AG3"/>
  </mergeCells>
  <pageMargins left="0.7" right="0.7" top="0.25" bottom="0.44" header="0.3" footer="0.3"/>
  <pageSetup scale="43" orientation="landscape" r:id="rId1"/>
  <headerFooter>
    <oddFooter>&amp;LActivision Blizzard, Inc.&amp;R&amp;P of &amp; 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16"/>
  <sheetViews>
    <sheetView showGridLines="0" zoomScaleNormal="100" zoomScaleSheetLayoutView="100" workbookViewId="0"/>
  </sheetViews>
  <sheetFormatPr defaultColWidth="9.140625" defaultRowHeight="12"/>
  <cols>
    <col min="1" max="1" width="2.140625" style="68" customWidth="1"/>
    <col min="2" max="2" width="30.7109375" style="68" customWidth="1"/>
    <col min="3" max="3" width="2.140625" style="68" customWidth="1"/>
    <col min="4" max="4" width="15.7109375" style="68" customWidth="1"/>
    <col min="5" max="5" width="2.140625" style="68" customWidth="1"/>
    <col min="6" max="6" width="15.7109375" style="68" customWidth="1"/>
    <col min="7" max="7" width="2.5703125" style="68" customWidth="1"/>
    <col min="8" max="8" width="15.7109375" style="68" customWidth="1"/>
    <col min="9" max="9" width="2.5703125" style="68" customWidth="1"/>
    <col min="10" max="10" width="15.7109375" style="68" customWidth="1"/>
    <col min="11" max="11" width="2.5703125" style="68" customWidth="1"/>
    <col min="12" max="12" width="15.7109375" style="68" customWidth="1"/>
    <col min="13" max="13" width="2.5703125" style="68" customWidth="1"/>
    <col min="14" max="14" width="15.7109375" style="68" customWidth="1"/>
    <col min="15" max="16384" width="9.140625" style="68"/>
  </cols>
  <sheetData>
    <row r="1" spans="1:14" ht="15" customHeight="1">
      <c r="B1" s="692" t="s">
        <v>155</v>
      </c>
      <c r="C1" s="692"/>
      <c r="D1" s="692"/>
      <c r="E1" s="692"/>
      <c r="F1" s="692"/>
      <c r="G1" s="692"/>
      <c r="H1" s="692"/>
      <c r="I1" s="692"/>
      <c r="J1" s="692"/>
      <c r="K1" s="692"/>
      <c r="L1" s="692"/>
      <c r="M1" s="692"/>
      <c r="N1" s="692"/>
    </row>
    <row r="2" spans="1:14">
      <c r="B2" s="692" t="s">
        <v>250</v>
      </c>
      <c r="C2" s="692"/>
      <c r="D2" s="692"/>
      <c r="E2" s="692"/>
      <c r="F2" s="692"/>
      <c r="G2" s="692"/>
      <c r="H2" s="692"/>
      <c r="I2" s="692"/>
      <c r="J2" s="692"/>
      <c r="K2" s="692"/>
      <c r="L2" s="692"/>
      <c r="M2" s="692"/>
      <c r="N2" s="692"/>
    </row>
    <row r="3" spans="1:14" s="80" customFormat="1">
      <c r="B3" s="692" t="s">
        <v>74</v>
      </c>
      <c r="C3" s="692"/>
      <c r="D3" s="692"/>
      <c r="E3" s="692"/>
      <c r="F3" s="692"/>
      <c r="G3" s="692"/>
      <c r="H3" s="692"/>
      <c r="I3" s="692"/>
      <c r="J3" s="692"/>
      <c r="K3" s="692"/>
      <c r="L3" s="692"/>
      <c r="M3" s="692"/>
      <c r="N3" s="692"/>
    </row>
    <row r="4" spans="1:14">
      <c r="B4" s="506"/>
      <c r="C4" s="511"/>
      <c r="D4" s="511"/>
      <c r="E4" s="506"/>
      <c r="F4" s="506"/>
      <c r="G4" s="538"/>
      <c r="H4" s="506"/>
      <c r="I4" s="618"/>
      <c r="J4" s="538"/>
      <c r="K4" s="656"/>
      <c r="L4" s="618"/>
      <c r="M4" s="506"/>
      <c r="N4" s="656"/>
    </row>
    <row r="5" spans="1:14">
      <c r="B5" s="69"/>
      <c r="C5" s="69"/>
      <c r="E5" s="69"/>
      <c r="G5" s="69"/>
      <c r="H5" s="69"/>
      <c r="I5" s="69"/>
      <c r="J5" s="69"/>
      <c r="K5" s="69"/>
      <c r="L5" s="69"/>
      <c r="M5" s="69"/>
      <c r="N5" s="69"/>
    </row>
    <row r="6" spans="1:14" ht="15" customHeight="1">
      <c r="A6" s="80"/>
      <c r="B6" s="507"/>
      <c r="C6" s="693" t="s">
        <v>294</v>
      </c>
      <c r="D6" s="693"/>
      <c r="E6" s="693"/>
      <c r="F6" s="693"/>
      <c r="G6" s="693"/>
      <c r="H6" s="693"/>
      <c r="I6" s="693"/>
      <c r="J6" s="693"/>
      <c r="K6" s="693"/>
      <c r="L6" s="693"/>
      <c r="M6" s="693"/>
      <c r="N6" s="693"/>
    </row>
    <row r="7" spans="1:14" ht="12.75" thickBot="1">
      <c r="B7" s="371"/>
      <c r="C7" s="510"/>
      <c r="D7" s="508">
        <v>2009</v>
      </c>
      <c r="E7" s="505"/>
      <c r="F7" s="508">
        <v>2010</v>
      </c>
      <c r="G7" s="537"/>
      <c r="H7" s="508">
        <v>2011</v>
      </c>
      <c r="I7" s="617"/>
      <c r="J7" s="508">
        <v>2012</v>
      </c>
      <c r="K7" s="655"/>
      <c r="L7" s="508">
        <v>2013</v>
      </c>
      <c r="M7" s="505"/>
      <c r="N7" s="508">
        <v>2014</v>
      </c>
    </row>
    <row r="8" spans="1:14">
      <c r="B8" s="372" t="s">
        <v>205</v>
      </c>
      <c r="C8" s="370"/>
      <c r="D8" s="383"/>
      <c r="E8" s="370"/>
      <c r="F8" s="383"/>
      <c r="G8" s="370"/>
      <c r="H8" s="383"/>
      <c r="I8" s="370"/>
      <c r="J8" s="383"/>
      <c r="K8" s="370"/>
      <c r="L8" s="383"/>
      <c r="M8" s="370"/>
      <c r="N8" s="383"/>
    </row>
    <row r="9" spans="1:14">
      <c r="B9" s="374" t="s">
        <v>206</v>
      </c>
      <c r="C9" s="370"/>
      <c r="D9" s="384">
        <v>1183</v>
      </c>
      <c r="E9" s="370"/>
      <c r="F9" s="384">
        <v>1376</v>
      </c>
      <c r="G9" s="370"/>
      <c r="H9" s="384">
        <v>952</v>
      </c>
      <c r="I9" s="370"/>
      <c r="J9" s="384">
        <f>'Cashflow YE'!I29</f>
        <v>1345</v>
      </c>
      <c r="K9" s="370"/>
      <c r="L9" s="384">
        <f>'Cashflow Supplemental Qtrly'!Y14</f>
        <v>1264</v>
      </c>
      <c r="M9" s="370"/>
      <c r="N9" s="384">
        <f>'Cashflow Supplemental Qtrly'!AC14</f>
        <v>1292</v>
      </c>
    </row>
    <row r="10" spans="1:14">
      <c r="B10" s="374" t="s">
        <v>245</v>
      </c>
      <c r="C10" s="370"/>
      <c r="D10" s="384">
        <v>69</v>
      </c>
      <c r="E10" s="370"/>
      <c r="F10" s="384">
        <v>97</v>
      </c>
      <c r="G10" s="370"/>
      <c r="H10" s="384">
        <v>72</v>
      </c>
      <c r="I10" s="370"/>
      <c r="J10" s="384">
        <f>-'Cashflow YE'!I38</f>
        <v>73</v>
      </c>
      <c r="K10" s="370"/>
      <c r="L10" s="384">
        <f>'Cashflow Supplemental Qtrly'!Y15</f>
        <v>74</v>
      </c>
      <c r="M10" s="370"/>
      <c r="N10" s="384">
        <f>'Cashflow Supplemental Qtrly'!AC15</f>
        <v>107</v>
      </c>
    </row>
    <row r="11" spans="1:14">
      <c r="B11" s="374" t="s">
        <v>223</v>
      </c>
      <c r="C11" s="370"/>
      <c r="D11" s="75">
        <f>D9-D10</f>
        <v>1114</v>
      </c>
      <c r="E11" s="370"/>
      <c r="F11" s="75">
        <f>F9-F10</f>
        <v>1279</v>
      </c>
      <c r="G11" s="370"/>
      <c r="H11" s="75">
        <f>H9-H10</f>
        <v>880</v>
      </c>
      <c r="I11" s="370"/>
      <c r="J11" s="75">
        <f>J9-J10</f>
        <v>1272</v>
      </c>
      <c r="K11" s="370"/>
      <c r="L11" s="75">
        <f>L9-L10</f>
        <v>1190</v>
      </c>
      <c r="M11" s="370"/>
      <c r="N11" s="75">
        <f>N9-N10</f>
        <v>1185</v>
      </c>
    </row>
    <row r="14" spans="1:14">
      <c r="B14" s="68" t="s">
        <v>317</v>
      </c>
    </row>
    <row r="16" spans="1:14">
      <c r="B16" s="68" t="s">
        <v>266</v>
      </c>
    </row>
  </sheetData>
  <mergeCells count="4">
    <mergeCell ref="B1:N1"/>
    <mergeCell ref="B2:N2"/>
    <mergeCell ref="B3:N3"/>
    <mergeCell ref="C6:N6"/>
  </mergeCells>
  <pageMargins left="0.7" right="0.7" top="0.25" bottom="0.44" header="0.3" footer="0.3"/>
  <pageSetup scale="86" orientation="landscape" r:id="rId1"/>
  <headerFooter>
    <oddFooter>&amp;LActivision Blizzard, Inc.&amp;R&amp;P of &amp; 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K64"/>
  <sheetViews>
    <sheetView zoomScaleNormal="100" zoomScaleSheetLayoutView="115" workbookViewId="0">
      <selection activeCell="J7" sqref="J7"/>
    </sheetView>
  </sheetViews>
  <sheetFormatPr defaultColWidth="9.140625" defaultRowHeight="12"/>
  <cols>
    <col min="1" max="1" width="1.7109375" style="68" customWidth="1"/>
    <col min="2" max="2" width="2.7109375" style="68" customWidth="1"/>
    <col min="3" max="3" width="2.85546875" style="68" customWidth="1"/>
    <col min="4" max="4" width="34.85546875" style="68" customWidth="1"/>
    <col min="5" max="5" width="50.28515625" style="68" customWidth="1"/>
    <col min="6" max="11" width="15.7109375" style="68" customWidth="1"/>
    <col min="12" max="16384" width="9.140625" style="68"/>
  </cols>
  <sheetData>
    <row r="1" spans="2:11" ht="15" customHeight="1">
      <c r="B1" s="692" t="s">
        <v>155</v>
      </c>
      <c r="C1" s="692"/>
      <c r="D1" s="692"/>
      <c r="E1" s="692"/>
      <c r="F1" s="692"/>
      <c r="G1" s="692"/>
      <c r="H1" s="692"/>
      <c r="I1" s="692"/>
      <c r="J1" s="692"/>
      <c r="K1" s="692"/>
    </row>
    <row r="2" spans="2:11" ht="15" customHeight="1">
      <c r="B2" s="692" t="s">
        <v>246</v>
      </c>
      <c r="C2" s="692"/>
      <c r="D2" s="692"/>
      <c r="E2" s="692"/>
      <c r="F2" s="692"/>
      <c r="G2" s="692"/>
      <c r="H2" s="692"/>
      <c r="I2" s="692"/>
      <c r="J2" s="692"/>
      <c r="K2" s="692"/>
    </row>
    <row r="3" spans="2:11" ht="15" customHeight="1">
      <c r="B3" s="692" t="s">
        <v>74</v>
      </c>
      <c r="C3" s="692"/>
      <c r="D3" s="692"/>
      <c r="E3" s="692"/>
      <c r="F3" s="692"/>
      <c r="G3" s="692"/>
      <c r="H3" s="692"/>
      <c r="I3" s="692"/>
      <c r="J3" s="692"/>
      <c r="K3" s="692"/>
    </row>
    <row r="4" spans="2:11">
      <c r="B4" s="69"/>
      <c r="C4" s="69"/>
      <c r="D4" s="69"/>
      <c r="E4" s="69"/>
      <c r="F4" s="69"/>
      <c r="G4" s="69"/>
      <c r="H4" s="69"/>
      <c r="I4" s="69"/>
      <c r="J4" s="69"/>
      <c r="K4" s="69"/>
    </row>
    <row r="5" spans="2:11">
      <c r="B5" s="69"/>
      <c r="C5" s="69"/>
      <c r="E5" s="69"/>
      <c r="F5" s="69"/>
      <c r="G5" s="69"/>
      <c r="H5" s="69"/>
      <c r="I5" s="69"/>
      <c r="J5" s="69"/>
      <c r="K5" s="69"/>
    </row>
    <row r="6" spans="2:11" ht="15.75" customHeight="1" thickBot="1">
      <c r="B6" s="70"/>
      <c r="C6" s="70"/>
      <c r="D6" s="70"/>
      <c r="E6" s="71"/>
      <c r="F6" s="694" t="s">
        <v>156</v>
      </c>
      <c r="G6" s="694"/>
      <c r="H6" s="694"/>
      <c r="I6" s="694"/>
      <c r="J6" s="694"/>
      <c r="K6" s="694"/>
    </row>
    <row r="7" spans="2:11" ht="12.75" thickBot="1">
      <c r="B7" s="70"/>
      <c r="C7" s="70"/>
      <c r="D7" s="70"/>
      <c r="E7" s="71"/>
      <c r="F7" s="72">
        <v>2009</v>
      </c>
      <c r="G7" s="72">
        <v>2010</v>
      </c>
      <c r="H7" s="72">
        <v>2011</v>
      </c>
      <c r="I7" s="72">
        <v>2012</v>
      </c>
      <c r="J7" s="72">
        <v>2013</v>
      </c>
      <c r="K7" s="658">
        <v>2014</v>
      </c>
    </row>
    <row r="8" spans="2:11">
      <c r="B8" s="73" t="s">
        <v>157</v>
      </c>
      <c r="C8" s="73"/>
      <c r="D8" s="73"/>
      <c r="E8" s="69"/>
      <c r="F8" s="69"/>
      <c r="G8" s="69"/>
      <c r="H8" s="69"/>
      <c r="I8" s="69"/>
      <c r="J8" s="69"/>
      <c r="K8" s="69"/>
    </row>
    <row r="9" spans="2:11">
      <c r="B9" s="69"/>
      <c r="C9" s="73" t="s">
        <v>231</v>
      </c>
      <c r="D9" s="73"/>
      <c r="E9" s="69"/>
      <c r="F9" s="75">
        <v>113</v>
      </c>
      <c r="G9" s="74">
        <v>418</v>
      </c>
      <c r="H9" s="74">
        <v>1085</v>
      </c>
      <c r="I9" s="74">
        <v>1149</v>
      </c>
      <c r="J9" s="74">
        <v>1010</v>
      </c>
      <c r="K9" s="74">
        <v>835</v>
      </c>
    </row>
    <row r="10" spans="2:11">
      <c r="B10" s="69"/>
      <c r="C10" s="73" t="s">
        <v>158</v>
      </c>
      <c r="D10" s="73"/>
      <c r="E10" s="69"/>
      <c r="F10" s="364"/>
      <c r="G10" s="362"/>
      <c r="H10" s="362"/>
      <c r="I10" s="69"/>
      <c r="J10" s="69"/>
      <c r="K10" s="69"/>
    </row>
    <row r="11" spans="2:11">
      <c r="B11" s="69"/>
      <c r="C11" s="69"/>
      <c r="D11" s="69" t="s">
        <v>72</v>
      </c>
      <c r="E11" s="69"/>
      <c r="F11" s="365">
        <v>-256</v>
      </c>
      <c r="G11" s="367">
        <v>-278</v>
      </c>
      <c r="H11" s="367">
        <v>75</v>
      </c>
      <c r="I11" s="367">
        <v>-10</v>
      </c>
      <c r="J11" s="367">
        <v>161</v>
      </c>
      <c r="K11" s="367">
        <v>-44</v>
      </c>
    </row>
    <row r="12" spans="2:11">
      <c r="B12" s="69"/>
      <c r="C12" s="69"/>
      <c r="D12" s="69" t="s">
        <v>329</v>
      </c>
      <c r="E12" s="69"/>
      <c r="F12" s="365">
        <v>34</v>
      </c>
      <c r="G12" s="367">
        <v>107</v>
      </c>
      <c r="H12" s="367">
        <v>8</v>
      </c>
      <c r="I12" s="77">
        <v>13</v>
      </c>
      <c r="J12" s="77">
        <v>33</v>
      </c>
      <c r="K12" s="77">
        <v>39</v>
      </c>
    </row>
    <row r="13" spans="2:11">
      <c r="B13" s="69"/>
      <c r="C13" s="69"/>
      <c r="D13" s="69" t="s">
        <v>225</v>
      </c>
      <c r="E13" s="69"/>
      <c r="F13" s="365">
        <v>409</v>
      </c>
      <c r="G13" s="367">
        <v>326</v>
      </c>
      <c r="H13" s="367">
        <v>12</v>
      </c>
      <c r="I13" s="77">
        <v>0</v>
      </c>
      <c r="J13" s="77">
        <v>0</v>
      </c>
      <c r="K13" s="77">
        <v>0</v>
      </c>
    </row>
    <row r="14" spans="2:11">
      <c r="B14" s="69"/>
      <c r="C14" s="69"/>
      <c r="D14" s="69" t="s">
        <v>159</v>
      </c>
      <c r="E14" s="69"/>
      <c r="F14" s="78">
        <v>347</v>
      </c>
      <c r="G14" s="77">
        <v>198</v>
      </c>
      <c r="H14" s="77">
        <v>148</v>
      </c>
      <c r="I14" s="77">
        <v>120</v>
      </c>
      <c r="J14" s="77">
        <v>108</v>
      </c>
      <c r="K14" s="77">
        <v>90</v>
      </c>
    </row>
    <row r="15" spans="2:11">
      <c r="B15" s="69"/>
      <c r="C15" s="69"/>
      <c r="D15" s="69" t="s">
        <v>160</v>
      </c>
      <c r="E15" s="69"/>
      <c r="F15" s="78">
        <v>2</v>
      </c>
      <c r="G15" s="77">
        <v>1</v>
      </c>
      <c r="H15" s="77">
        <v>4</v>
      </c>
      <c r="I15" s="77">
        <v>1</v>
      </c>
      <c r="J15" s="77">
        <v>0</v>
      </c>
      <c r="K15" s="77">
        <v>1</v>
      </c>
    </row>
    <row r="16" spans="2:11">
      <c r="B16" s="69"/>
      <c r="C16" s="69"/>
      <c r="D16" s="69" t="s">
        <v>161</v>
      </c>
      <c r="E16" s="69"/>
      <c r="F16" s="78">
        <v>281</v>
      </c>
      <c r="G16" s="77">
        <v>319</v>
      </c>
      <c r="H16" s="77">
        <v>287</v>
      </c>
      <c r="I16" s="77">
        <v>208</v>
      </c>
      <c r="J16" s="77">
        <v>207</v>
      </c>
      <c r="K16" s="77">
        <v>256</v>
      </c>
    </row>
    <row r="17" spans="2:11">
      <c r="B17" s="69"/>
      <c r="C17" s="69"/>
      <c r="D17" s="69" t="s">
        <v>300</v>
      </c>
      <c r="E17" s="69"/>
      <c r="F17" s="78">
        <v>0</v>
      </c>
      <c r="G17" s="77">
        <v>0</v>
      </c>
      <c r="H17" s="77">
        <v>0</v>
      </c>
      <c r="I17" s="77">
        <v>0</v>
      </c>
      <c r="J17" s="77">
        <v>1</v>
      </c>
      <c r="K17" s="77">
        <v>7</v>
      </c>
    </row>
    <row r="18" spans="2:11">
      <c r="B18" s="69"/>
      <c r="C18" s="69"/>
      <c r="D18" s="69" t="s">
        <v>162</v>
      </c>
      <c r="E18" s="69"/>
      <c r="F18" s="78">
        <v>156</v>
      </c>
      <c r="G18" s="77">
        <v>131</v>
      </c>
      <c r="H18" s="77">
        <v>103</v>
      </c>
      <c r="I18" s="77">
        <v>126</v>
      </c>
      <c r="J18" s="77">
        <v>108</v>
      </c>
      <c r="K18" s="77">
        <v>104</v>
      </c>
    </row>
    <row r="19" spans="2:11">
      <c r="B19" s="69"/>
      <c r="C19" s="69"/>
      <c r="D19" s="69" t="s">
        <v>301</v>
      </c>
      <c r="E19" s="69"/>
      <c r="F19" s="78">
        <v>-79</v>
      </c>
      <c r="G19" s="77">
        <v>-22</v>
      </c>
      <c r="H19" s="77">
        <v>-24</v>
      </c>
      <c r="I19" s="77">
        <v>-5</v>
      </c>
      <c r="J19" s="77">
        <v>-29</v>
      </c>
      <c r="K19" s="77">
        <v>-39</v>
      </c>
    </row>
    <row r="20" spans="2:11">
      <c r="B20" s="69"/>
      <c r="C20" s="73" t="s">
        <v>164</v>
      </c>
      <c r="D20" s="73"/>
      <c r="E20" s="69"/>
      <c r="F20" s="78"/>
      <c r="G20" s="77"/>
      <c r="H20" s="77"/>
      <c r="I20" s="77"/>
      <c r="J20" s="77"/>
      <c r="K20" s="77"/>
    </row>
    <row r="21" spans="2:11">
      <c r="B21" s="69"/>
      <c r="C21" s="69"/>
      <c r="D21" s="69" t="s">
        <v>240</v>
      </c>
      <c r="E21" s="69"/>
      <c r="F21" s="78">
        <v>235</v>
      </c>
      <c r="G21" s="77">
        <v>43</v>
      </c>
      <c r="H21" s="77">
        <v>13</v>
      </c>
      <c r="I21" s="77">
        <v>-46</v>
      </c>
      <c r="J21" s="77">
        <v>198</v>
      </c>
      <c r="K21" s="77">
        <v>-177</v>
      </c>
    </row>
    <row r="22" spans="2:11">
      <c r="B22" s="69"/>
      <c r="C22" s="69"/>
      <c r="D22" s="69" t="s">
        <v>239</v>
      </c>
      <c r="E22" s="69"/>
      <c r="F22" s="78">
        <v>-13</v>
      </c>
      <c r="G22" s="77">
        <v>17</v>
      </c>
      <c r="H22" s="77">
        <v>-42</v>
      </c>
      <c r="I22" s="77">
        <v>-75</v>
      </c>
      <c r="J22" s="77">
        <v>6</v>
      </c>
      <c r="K22" s="77">
        <v>-2</v>
      </c>
    </row>
    <row r="23" spans="2:11">
      <c r="B23" s="69"/>
      <c r="C23" s="69"/>
      <c r="D23" s="69" t="s">
        <v>165</v>
      </c>
      <c r="E23" s="69"/>
      <c r="F23" s="78">
        <v>-308</v>
      </c>
      <c r="G23" s="77">
        <v>-313</v>
      </c>
      <c r="H23" s="77">
        <v>-254</v>
      </c>
      <c r="I23" s="77">
        <v>-301</v>
      </c>
      <c r="J23" s="77">
        <v>-268</v>
      </c>
      <c r="K23" s="77">
        <v>-349</v>
      </c>
    </row>
    <row r="24" spans="2:11">
      <c r="B24" s="69"/>
      <c r="C24" s="69"/>
      <c r="D24" s="69" t="s">
        <v>9</v>
      </c>
      <c r="E24" s="69"/>
      <c r="F24" s="78">
        <v>-110</v>
      </c>
      <c r="G24" s="77">
        <v>17</v>
      </c>
      <c r="H24" s="77">
        <v>-67</v>
      </c>
      <c r="I24" s="77">
        <v>88</v>
      </c>
      <c r="J24" s="77">
        <v>-67</v>
      </c>
      <c r="K24" s="77">
        <v>18</v>
      </c>
    </row>
    <row r="25" spans="2:11">
      <c r="B25" s="69"/>
      <c r="C25" s="69"/>
      <c r="D25" s="69" t="s">
        <v>68</v>
      </c>
      <c r="E25" s="69"/>
      <c r="F25" s="78">
        <v>503</v>
      </c>
      <c r="G25" s="77">
        <v>293</v>
      </c>
      <c r="H25" s="77">
        <v>-248</v>
      </c>
      <c r="I25" s="77">
        <v>153</v>
      </c>
      <c r="J25" s="77">
        <v>-275</v>
      </c>
      <c r="K25" s="77">
        <v>475</v>
      </c>
    </row>
    <row r="26" spans="2:11">
      <c r="B26" s="69"/>
      <c r="C26" s="69"/>
      <c r="D26" s="69" t="s">
        <v>67</v>
      </c>
      <c r="E26" s="69"/>
      <c r="F26" s="78">
        <v>-18</v>
      </c>
      <c r="G26" s="77">
        <v>70</v>
      </c>
      <c r="H26" s="77">
        <v>31</v>
      </c>
      <c r="I26" s="77">
        <v>-54</v>
      </c>
      <c r="J26" s="77">
        <v>7</v>
      </c>
      <c r="K26" s="77">
        <v>-12</v>
      </c>
    </row>
    <row r="27" spans="2:11">
      <c r="B27" s="69"/>
      <c r="C27" s="69"/>
      <c r="D27" s="69" t="s">
        <v>69</v>
      </c>
      <c r="E27" s="69"/>
      <c r="F27" s="78">
        <v>-113</v>
      </c>
      <c r="G27" s="77">
        <v>49</v>
      </c>
      <c r="H27" s="77">
        <v>-179</v>
      </c>
      <c r="I27" s="77">
        <v>-22</v>
      </c>
      <c r="J27" s="77">
        <v>64</v>
      </c>
      <c r="K27" s="77">
        <v>90</v>
      </c>
    </row>
    <row r="28" spans="2:11">
      <c r="B28" s="73"/>
      <c r="C28" s="73"/>
      <c r="D28" s="73"/>
      <c r="E28" s="69"/>
      <c r="F28" s="365"/>
      <c r="G28" s="363"/>
      <c r="H28" s="363"/>
      <c r="I28" s="363"/>
      <c r="J28" s="363"/>
      <c r="K28" s="363"/>
    </row>
    <row r="29" spans="2:11">
      <c r="B29" s="69"/>
      <c r="C29" s="73" t="s">
        <v>166</v>
      </c>
      <c r="D29" s="73"/>
      <c r="E29" s="69"/>
      <c r="F29" s="366">
        <f>SUM(F9:F27)</f>
        <v>1183</v>
      </c>
      <c r="G29" s="366">
        <f>SUM(G9:G27)</f>
        <v>1376</v>
      </c>
      <c r="H29" s="366">
        <f>SUM(H9:H27)</f>
        <v>952</v>
      </c>
      <c r="I29" s="366">
        <f>SUM(I9:I27)</f>
        <v>1345</v>
      </c>
      <c r="J29" s="366">
        <f>SUM(J9:J27)</f>
        <v>1264</v>
      </c>
      <c r="K29" s="366">
        <f t="shared" ref="K29" si="0">SUM(K9:K27)</f>
        <v>1292</v>
      </c>
    </row>
    <row r="30" spans="2:11" s="80" customFormat="1">
      <c r="B30" s="79"/>
      <c r="C30" s="79"/>
      <c r="D30" s="79"/>
      <c r="E30" s="362"/>
      <c r="F30" s="364"/>
      <c r="G30" s="363"/>
      <c r="H30" s="363"/>
      <c r="I30" s="363"/>
      <c r="J30" s="363"/>
      <c r="K30" s="363"/>
    </row>
    <row r="31" spans="2:11">
      <c r="B31" s="73" t="s">
        <v>167</v>
      </c>
      <c r="C31" s="73"/>
      <c r="D31" s="73"/>
      <c r="E31" s="69"/>
      <c r="F31" s="76"/>
      <c r="G31" s="77"/>
      <c r="H31" s="77"/>
      <c r="I31" s="77"/>
      <c r="J31" s="77"/>
      <c r="K31" s="77"/>
    </row>
    <row r="32" spans="2:11">
      <c r="B32" s="69"/>
      <c r="C32" s="73" t="s">
        <v>230</v>
      </c>
      <c r="D32" s="73"/>
      <c r="E32" s="69"/>
      <c r="F32" s="78">
        <v>44</v>
      </c>
      <c r="G32" s="77">
        <v>519</v>
      </c>
      <c r="H32" s="77">
        <v>740</v>
      </c>
      <c r="I32" s="77">
        <v>444</v>
      </c>
      <c r="J32" s="77">
        <v>304</v>
      </c>
      <c r="K32" s="77">
        <v>21</v>
      </c>
    </row>
    <row r="33" spans="2:11">
      <c r="B33" s="69"/>
      <c r="C33" s="73" t="s">
        <v>234</v>
      </c>
      <c r="D33" s="73"/>
      <c r="E33" s="69"/>
      <c r="F33" s="78">
        <v>0</v>
      </c>
      <c r="G33" s="77">
        <v>61</v>
      </c>
      <c r="H33" s="78">
        <v>0</v>
      </c>
      <c r="I33" s="78">
        <v>0</v>
      </c>
      <c r="J33" s="78">
        <v>0</v>
      </c>
      <c r="K33" s="78">
        <v>0</v>
      </c>
    </row>
    <row r="34" spans="2:11">
      <c r="B34" s="69"/>
      <c r="C34" s="73" t="s">
        <v>168</v>
      </c>
      <c r="D34" s="73"/>
      <c r="E34" s="69"/>
      <c r="F34" s="78">
        <v>2</v>
      </c>
      <c r="G34" s="78">
        <v>0</v>
      </c>
      <c r="H34" s="78">
        <v>0</v>
      </c>
      <c r="I34" s="78">
        <v>0</v>
      </c>
      <c r="J34" s="78">
        <v>0</v>
      </c>
      <c r="K34" s="78">
        <v>0</v>
      </c>
    </row>
    <row r="35" spans="2:11">
      <c r="B35" s="69"/>
      <c r="C35" s="73" t="s">
        <v>235</v>
      </c>
      <c r="D35" s="73"/>
      <c r="E35" s="69"/>
      <c r="F35" s="78">
        <v>0</v>
      </c>
      <c r="G35" s="78">
        <v>0</v>
      </c>
      <c r="H35" s="78">
        <v>10</v>
      </c>
      <c r="I35" s="78">
        <v>10</v>
      </c>
      <c r="J35" s="78">
        <v>0</v>
      </c>
      <c r="K35" s="78">
        <v>0</v>
      </c>
    </row>
    <row r="36" spans="2:11">
      <c r="B36" s="69"/>
      <c r="C36" s="73" t="s">
        <v>169</v>
      </c>
      <c r="D36" s="73"/>
      <c r="E36" s="69"/>
      <c r="F36" s="78">
        <v>0</v>
      </c>
      <c r="G36" s="78">
        <v>-4</v>
      </c>
      <c r="H36" s="78">
        <v>-3</v>
      </c>
      <c r="I36" s="78">
        <v>0</v>
      </c>
      <c r="J36" s="78">
        <v>98</v>
      </c>
      <c r="K36" s="78">
        <v>0</v>
      </c>
    </row>
    <row r="37" spans="2:11">
      <c r="B37" s="69"/>
      <c r="C37" s="73" t="s">
        <v>170</v>
      </c>
      <c r="D37" s="73"/>
      <c r="E37" s="69"/>
      <c r="F37" s="78">
        <v>-425</v>
      </c>
      <c r="G37" s="78">
        <v>-800</v>
      </c>
      <c r="H37" s="78">
        <v>-417</v>
      </c>
      <c r="I37" s="78">
        <v>-503</v>
      </c>
      <c r="J37" s="78">
        <v>-26</v>
      </c>
      <c r="K37" s="78">
        <v>0</v>
      </c>
    </row>
    <row r="38" spans="2:11">
      <c r="B38" s="69"/>
      <c r="C38" s="73" t="s">
        <v>11</v>
      </c>
      <c r="D38" s="73"/>
      <c r="E38" s="69"/>
      <c r="F38" s="78">
        <v>-69</v>
      </c>
      <c r="G38" s="78">
        <v>-97</v>
      </c>
      <c r="H38" s="78">
        <v>-72</v>
      </c>
      <c r="I38" s="78">
        <v>-73</v>
      </c>
      <c r="J38" s="78">
        <v>-74</v>
      </c>
      <c r="K38" s="78">
        <v>-107</v>
      </c>
    </row>
    <row r="39" spans="2:11">
      <c r="B39" s="69"/>
      <c r="C39" s="73" t="s">
        <v>254</v>
      </c>
      <c r="D39" s="73"/>
      <c r="E39" s="69"/>
      <c r="F39" s="78">
        <v>5</v>
      </c>
      <c r="G39" s="77">
        <v>9</v>
      </c>
      <c r="H39" s="77">
        <v>8</v>
      </c>
      <c r="I39" s="77">
        <v>-2</v>
      </c>
      <c r="J39" s="77">
        <v>6</v>
      </c>
      <c r="K39" s="77">
        <v>2</v>
      </c>
    </row>
    <row r="40" spans="2:11">
      <c r="B40" s="73"/>
      <c r="C40" s="73"/>
      <c r="D40" s="73"/>
      <c r="E40" s="69"/>
      <c r="F40" s="365"/>
      <c r="G40" s="363"/>
      <c r="H40" s="363"/>
      <c r="I40" s="363"/>
      <c r="J40" s="363"/>
      <c r="K40" s="363"/>
    </row>
    <row r="41" spans="2:11">
      <c r="B41" s="69"/>
      <c r="C41" s="73" t="s">
        <v>253</v>
      </c>
      <c r="D41" s="73"/>
      <c r="E41" s="69"/>
      <c r="F41" s="366">
        <f>SUM(F32:F39)</f>
        <v>-443</v>
      </c>
      <c r="G41" s="366">
        <f>SUM(G32:G39)</f>
        <v>-312</v>
      </c>
      <c r="H41" s="366">
        <f>SUM(H32:H39)</f>
        <v>266</v>
      </c>
      <c r="I41" s="366">
        <f>SUM(I32:I39)</f>
        <v>-124</v>
      </c>
      <c r="J41" s="366">
        <f>SUM(J32:J39)</f>
        <v>308</v>
      </c>
      <c r="K41" s="366">
        <f t="shared" ref="K41" si="1">SUM(K32:K39)</f>
        <v>-84</v>
      </c>
    </row>
    <row r="42" spans="2:11">
      <c r="B42" s="73"/>
      <c r="C42" s="73"/>
      <c r="D42" s="73"/>
      <c r="E42" s="69"/>
      <c r="F42" s="365"/>
      <c r="G42" s="363"/>
      <c r="H42" s="363"/>
      <c r="I42" s="363"/>
      <c r="J42" s="363"/>
      <c r="K42" s="363"/>
    </row>
    <row r="43" spans="2:11">
      <c r="B43" s="73" t="s">
        <v>171</v>
      </c>
      <c r="C43" s="73"/>
      <c r="D43" s="73"/>
      <c r="E43" s="69"/>
      <c r="F43" s="365"/>
      <c r="G43" s="367"/>
      <c r="H43" s="367"/>
      <c r="I43" s="367"/>
      <c r="J43" s="367"/>
      <c r="K43" s="367"/>
    </row>
    <row r="44" spans="2:11">
      <c r="B44" s="69"/>
      <c r="C44" s="73" t="s">
        <v>172</v>
      </c>
      <c r="D44" s="73"/>
      <c r="E44" s="69"/>
      <c r="F44" s="78">
        <v>88</v>
      </c>
      <c r="G44" s="77">
        <v>81</v>
      </c>
      <c r="H44" s="77">
        <v>69</v>
      </c>
      <c r="I44" s="77">
        <v>33</v>
      </c>
      <c r="J44" s="77">
        <v>158</v>
      </c>
      <c r="K44" s="77">
        <v>175</v>
      </c>
    </row>
    <row r="45" spans="2:11">
      <c r="B45" s="69"/>
      <c r="C45" s="73" t="s">
        <v>244</v>
      </c>
      <c r="D45" s="73"/>
      <c r="E45" s="69"/>
      <c r="F45" s="78">
        <v>-7</v>
      </c>
      <c r="G45" s="77">
        <v>-8</v>
      </c>
      <c r="H45" s="77">
        <v>-15</v>
      </c>
      <c r="I45" s="77">
        <v>-16</v>
      </c>
      <c r="J45" s="77">
        <v>-49</v>
      </c>
      <c r="K45" s="77">
        <v>-66</v>
      </c>
    </row>
    <row r="46" spans="2:11">
      <c r="B46" s="69"/>
      <c r="C46" s="73" t="s">
        <v>173</v>
      </c>
      <c r="D46" s="73"/>
      <c r="E46" s="69"/>
      <c r="F46" s="78">
        <v>-1109</v>
      </c>
      <c r="G46" s="78">
        <v>-959</v>
      </c>
      <c r="H46" s="78">
        <v>-692</v>
      </c>
      <c r="I46" s="78">
        <v>-315</v>
      </c>
      <c r="J46" s="78">
        <v>-5830</v>
      </c>
      <c r="K46" s="78">
        <v>0</v>
      </c>
    </row>
    <row r="47" spans="2:11">
      <c r="B47" s="69"/>
      <c r="C47" s="73" t="s">
        <v>174</v>
      </c>
      <c r="D47" s="73"/>
      <c r="E47" s="69"/>
      <c r="F47" s="78">
        <v>0</v>
      </c>
      <c r="G47" s="78">
        <v>-189</v>
      </c>
      <c r="H47" s="78">
        <v>-194</v>
      </c>
      <c r="I47" s="78">
        <v>-204</v>
      </c>
      <c r="J47" s="78">
        <v>-216</v>
      </c>
      <c r="K47" s="78">
        <v>-147</v>
      </c>
    </row>
    <row r="48" spans="2:11">
      <c r="B48" s="69"/>
      <c r="C48" s="73" t="s">
        <v>302</v>
      </c>
      <c r="D48" s="73"/>
      <c r="E48" s="69"/>
      <c r="F48" s="78">
        <v>0</v>
      </c>
      <c r="G48" s="78">
        <v>0</v>
      </c>
      <c r="H48" s="78">
        <v>0</v>
      </c>
      <c r="I48" s="78">
        <v>0</v>
      </c>
      <c r="J48" s="78">
        <v>4750</v>
      </c>
      <c r="K48" s="78">
        <v>0</v>
      </c>
    </row>
    <row r="49" spans="2:11">
      <c r="B49" s="69"/>
      <c r="C49" s="73" t="s">
        <v>303</v>
      </c>
      <c r="D49" s="73"/>
      <c r="E49" s="69"/>
      <c r="F49" s="78">
        <v>0</v>
      </c>
      <c r="G49" s="78">
        <v>0</v>
      </c>
      <c r="H49" s="78">
        <v>0</v>
      </c>
      <c r="I49" s="78">
        <v>0</v>
      </c>
      <c r="J49" s="78">
        <v>-6</v>
      </c>
      <c r="K49" s="78">
        <v>-375</v>
      </c>
    </row>
    <row r="50" spans="2:11">
      <c r="B50" s="69"/>
      <c r="C50" s="73" t="s">
        <v>304</v>
      </c>
      <c r="D50" s="73"/>
      <c r="E50" s="69"/>
      <c r="F50" s="78">
        <v>0</v>
      </c>
      <c r="G50" s="78">
        <v>0</v>
      </c>
      <c r="H50" s="78">
        <v>0</v>
      </c>
      <c r="I50" s="78">
        <v>0</v>
      </c>
      <c r="J50" s="78">
        <v>-59</v>
      </c>
      <c r="K50" s="78">
        <v>0</v>
      </c>
    </row>
    <row r="51" spans="2:11">
      <c r="B51" s="69"/>
      <c r="C51" s="73" t="s">
        <v>163</v>
      </c>
      <c r="D51" s="73"/>
      <c r="E51" s="69"/>
      <c r="F51" s="78">
        <v>79</v>
      </c>
      <c r="G51" s="78">
        <v>22</v>
      </c>
      <c r="H51" s="78">
        <v>24</v>
      </c>
      <c r="I51" s="78">
        <v>5</v>
      </c>
      <c r="J51" s="78">
        <v>29</v>
      </c>
      <c r="K51" s="78">
        <v>39</v>
      </c>
    </row>
    <row r="52" spans="2:11">
      <c r="B52" s="73"/>
      <c r="C52" s="73"/>
      <c r="D52" s="73"/>
      <c r="E52" s="69"/>
      <c r="F52" s="369"/>
      <c r="G52" s="368"/>
      <c r="H52" s="368"/>
      <c r="I52" s="368"/>
      <c r="J52" s="368"/>
      <c r="K52" s="368"/>
    </row>
    <row r="53" spans="2:11">
      <c r="B53" s="69"/>
      <c r="C53" s="73" t="s">
        <v>252</v>
      </c>
      <c r="D53" s="73"/>
      <c r="E53" s="69"/>
      <c r="F53" s="366">
        <f>SUM(F44:F52)</f>
        <v>-949</v>
      </c>
      <c r="G53" s="366">
        <f>SUM(G44:G52)</f>
        <v>-1053</v>
      </c>
      <c r="H53" s="366">
        <f>SUM(H44:H52)</f>
        <v>-808</v>
      </c>
      <c r="I53" s="366">
        <f>SUM(I44:I52)</f>
        <v>-497</v>
      </c>
      <c r="J53" s="366">
        <f>SUM(J44:J52)</f>
        <v>-1223</v>
      </c>
      <c r="K53" s="366">
        <f t="shared" ref="K53" si="2">SUM(K44:K52)</f>
        <v>-374</v>
      </c>
    </row>
    <row r="54" spans="2:11">
      <c r="B54" s="73"/>
      <c r="C54" s="73"/>
      <c r="D54" s="73"/>
      <c r="E54" s="69"/>
      <c r="F54" s="365"/>
      <c r="G54" s="363"/>
      <c r="H54" s="363"/>
      <c r="I54" s="363"/>
      <c r="J54" s="363"/>
      <c r="K54" s="363"/>
    </row>
    <row r="55" spans="2:11">
      <c r="B55" s="73" t="s">
        <v>175</v>
      </c>
      <c r="C55" s="73"/>
      <c r="D55" s="73"/>
      <c r="E55" s="69"/>
      <c r="F55" s="78">
        <v>19</v>
      </c>
      <c r="G55" s="77">
        <v>33</v>
      </c>
      <c r="H55" s="77">
        <v>-57</v>
      </c>
      <c r="I55" s="77">
        <v>70</v>
      </c>
      <c r="J55" s="77">
        <v>102</v>
      </c>
      <c r="K55" s="77">
        <v>-396</v>
      </c>
    </row>
    <row r="56" spans="2:11">
      <c r="B56" s="73"/>
      <c r="C56" s="73"/>
      <c r="D56" s="73"/>
      <c r="E56" s="69"/>
      <c r="F56" s="369"/>
      <c r="G56" s="368"/>
      <c r="H56" s="368"/>
      <c r="I56" s="368"/>
      <c r="J56" s="368"/>
      <c r="K56" s="368"/>
    </row>
    <row r="57" spans="2:11">
      <c r="B57" s="73" t="s">
        <v>255</v>
      </c>
      <c r="C57" s="73"/>
      <c r="D57" s="73"/>
      <c r="E57" s="69"/>
      <c r="F57" s="77">
        <f>F29+F41+F53+F55</f>
        <v>-190</v>
      </c>
      <c r="G57" s="77">
        <f>G29+G41+G53+G55</f>
        <v>44</v>
      </c>
      <c r="H57" s="77">
        <f>H29+H41+H53+H55</f>
        <v>353</v>
      </c>
      <c r="I57" s="77">
        <f>I29+I41+I53+I55</f>
        <v>794</v>
      </c>
      <c r="J57" s="77">
        <f>J29+J41+J53+J55</f>
        <v>451</v>
      </c>
      <c r="K57" s="77">
        <f t="shared" ref="K57" si="3">K29+K41+K53+K55</f>
        <v>438</v>
      </c>
    </row>
    <row r="58" spans="2:11">
      <c r="B58" s="73" t="s">
        <v>176</v>
      </c>
      <c r="C58" s="73"/>
      <c r="D58" s="73"/>
      <c r="E58" s="69"/>
      <c r="F58" s="78">
        <v>2958</v>
      </c>
      <c r="G58" s="77">
        <f>F60</f>
        <v>2768</v>
      </c>
      <c r="H58" s="77">
        <f>G60</f>
        <v>2812</v>
      </c>
      <c r="I58" s="77">
        <f>H60</f>
        <v>3165</v>
      </c>
      <c r="J58" s="77">
        <f>I60</f>
        <v>3959</v>
      </c>
      <c r="K58" s="77">
        <f>J60</f>
        <v>4410</v>
      </c>
    </row>
    <row r="59" spans="2:11">
      <c r="B59" s="73"/>
      <c r="C59" s="73"/>
      <c r="D59" s="73"/>
      <c r="E59" s="69"/>
      <c r="F59" s="364"/>
      <c r="G59" s="79"/>
      <c r="H59" s="79"/>
      <c r="I59" s="79"/>
      <c r="J59" s="79"/>
      <c r="K59" s="79"/>
    </row>
    <row r="60" spans="2:11" ht="12.75" thickBot="1">
      <c r="B60" s="73" t="s">
        <v>177</v>
      </c>
      <c r="C60" s="73"/>
      <c r="D60" s="73"/>
      <c r="E60" s="69"/>
      <c r="F60" s="378">
        <f>F57+F58</f>
        <v>2768</v>
      </c>
      <c r="G60" s="378">
        <f>G57+G58</f>
        <v>2812</v>
      </c>
      <c r="H60" s="378">
        <f>H57+H58</f>
        <v>3165</v>
      </c>
      <c r="I60" s="378">
        <f>I57+I58</f>
        <v>3959</v>
      </c>
      <c r="J60" s="378">
        <f>J57+J58</f>
        <v>4410</v>
      </c>
      <c r="K60" s="378">
        <f t="shared" ref="K60" si="4">K57+K58</f>
        <v>4848</v>
      </c>
    </row>
    <row r="61" spans="2:11">
      <c r="B61" s="73"/>
      <c r="C61" s="73"/>
      <c r="D61" s="73"/>
      <c r="E61" s="69"/>
      <c r="F61" s="79"/>
      <c r="G61" s="79"/>
      <c r="H61" s="79"/>
      <c r="I61" s="79"/>
      <c r="J61" s="79"/>
      <c r="K61" s="79"/>
    </row>
    <row r="62" spans="2:11">
      <c r="E62" s="80"/>
      <c r="F62" s="80"/>
      <c r="G62" s="80"/>
      <c r="H62" s="80"/>
      <c r="I62" s="80"/>
      <c r="J62" s="80"/>
      <c r="K62" s="80"/>
    </row>
    <row r="63" spans="2:11">
      <c r="B63" s="376" t="s">
        <v>199</v>
      </c>
    </row>
    <row r="64" spans="2:11">
      <c r="B64" s="376" t="s">
        <v>200</v>
      </c>
    </row>
  </sheetData>
  <mergeCells count="4">
    <mergeCell ref="B1:K1"/>
    <mergeCell ref="B2:K2"/>
    <mergeCell ref="B3:K3"/>
    <mergeCell ref="F6:K6"/>
  </mergeCells>
  <pageMargins left="0.7" right="0.7" top="0.25" bottom="0.44" header="0.3" footer="0.3"/>
  <pageSetup scale="64" orientation="landscape" r:id="rId1"/>
  <headerFooter>
    <oddFooter>&amp;LActivision Blizzard, Inc.&amp;R&amp;P of &amp; 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P58"/>
  <sheetViews>
    <sheetView showGridLines="0" topLeftCell="A28" zoomScale="80" zoomScaleNormal="80" zoomScaleSheetLayoutView="115" workbookViewId="0">
      <selection activeCell="C62" sqref="C62"/>
    </sheetView>
  </sheetViews>
  <sheetFormatPr defaultColWidth="9.140625" defaultRowHeight="12"/>
  <cols>
    <col min="1" max="1" width="2.85546875" style="81" customWidth="1"/>
    <col min="2" max="2" width="1.42578125" style="81" customWidth="1"/>
    <col min="3" max="3" width="57.7109375" style="81" customWidth="1"/>
    <col min="4" max="4" width="3.42578125" style="81" customWidth="1"/>
    <col min="5" max="13" width="12.7109375" style="81" customWidth="1"/>
    <col min="14" max="14" width="3.7109375" style="81" customWidth="1"/>
    <col min="15" max="16384" width="9.140625" style="81"/>
  </cols>
  <sheetData>
    <row r="1" spans="2:16">
      <c r="B1" s="699" t="s">
        <v>73</v>
      </c>
      <c r="C1" s="699"/>
      <c r="D1" s="699"/>
      <c r="E1" s="699"/>
      <c r="F1" s="699"/>
      <c r="G1" s="699"/>
      <c r="H1" s="699"/>
      <c r="I1" s="699"/>
      <c r="J1" s="699"/>
      <c r="K1" s="699"/>
      <c r="L1" s="699"/>
      <c r="M1" s="699"/>
      <c r="N1" s="699"/>
    </row>
    <row r="2" spans="2:16">
      <c r="B2" s="699" t="s">
        <v>251</v>
      </c>
      <c r="C2" s="699"/>
      <c r="D2" s="699"/>
      <c r="E2" s="699"/>
      <c r="F2" s="699"/>
      <c r="G2" s="699"/>
      <c r="H2" s="699"/>
      <c r="I2" s="699"/>
      <c r="J2" s="699"/>
      <c r="K2" s="699"/>
      <c r="L2" s="699"/>
      <c r="M2" s="699"/>
      <c r="N2" s="699"/>
    </row>
    <row r="3" spans="2:16">
      <c r="B3" s="699" t="s">
        <v>103</v>
      </c>
      <c r="C3" s="699"/>
      <c r="D3" s="699"/>
      <c r="E3" s="699"/>
      <c r="F3" s="699"/>
      <c r="G3" s="699"/>
      <c r="H3" s="699"/>
      <c r="I3" s="699"/>
      <c r="J3" s="699"/>
      <c r="K3" s="699"/>
      <c r="L3" s="699"/>
      <c r="M3" s="699"/>
      <c r="N3" s="699"/>
    </row>
    <row r="4" spans="2:16">
      <c r="B4" s="661"/>
      <c r="C4" s="661"/>
      <c r="D4" s="661"/>
      <c r="E4" s="661"/>
      <c r="F4" s="661"/>
      <c r="G4" s="661"/>
      <c r="H4" s="661"/>
      <c r="I4" s="661"/>
      <c r="J4" s="661"/>
      <c r="K4" s="661"/>
      <c r="L4" s="661"/>
      <c r="M4" s="661"/>
    </row>
    <row r="5" spans="2:16" ht="12.75" thickBot="1">
      <c r="B5" s="83"/>
      <c r="C5" s="84"/>
      <c r="D5" s="85"/>
      <c r="E5" s="84"/>
      <c r="F5" s="84"/>
      <c r="G5" s="85"/>
      <c r="H5" s="85"/>
      <c r="I5" s="85"/>
      <c r="J5" s="85"/>
      <c r="K5" s="86"/>
      <c r="L5" s="86"/>
      <c r="M5" s="86"/>
    </row>
    <row r="6" spans="2:16" ht="48">
      <c r="B6" s="177" t="s">
        <v>333</v>
      </c>
      <c r="C6" s="178"/>
      <c r="D6" s="179"/>
      <c r="E6" s="88" t="s">
        <v>104</v>
      </c>
      <c r="F6" s="636" t="s">
        <v>105</v>
      </c>
      <c r="G6" s="636" t="s">
        <v>314</v>
      </c>
      <c r="H6" s="636" t="s">
        <v>106</v>
      </c>
      <c r="I6" s="88" t="s">
        <v>107</v>
      </c>
      <c r="J6" s="88" t="s">
        <v>108</v>
      </c>
      <c r="K6" s="88" t="s">
        <v>109</v>
      </c>
      <c r="L6" s="88" t="s">
        <v>110</v>
      </c>
      <c r="M6" s="89" t="s">
        <v>111</v>
      </c>
    </row>
    <row r="7" spans="2:16">
      <c r="B7" s="695" t="s">
        <v>112</v>
      </c>
      <c r="C7" s="696"/>
      <c r="D7" s="182"/>
      <c r="E7" s="120">
        <v>1278</v>
      </c>
      <c r="F7" s="637">
        <v>209</v>
      </c>
      <c r="G7" s="637">
        <v>53</v>
      </c>
      <c r="H7" s="637">
        <v>148</v>
      </c>
      <c r="I7" s="120">
        <v>3</v>
      </c>
      <c r="J7" s="120">
        <v>145</v>
      </c>
      <c r="K7" s="120">
        <v>92</v>
      </c>
      <c r="L7" s="120">
        <v>86</v>
      </c>
      <c r="M7" s="183">
        <f>SUM(F7:L7)</f>
        <v>736</v>
      </c>
    </row>
    <row r="8" spans="2:16" ht="12" customHeight="1">
      <c r="B8" s="95"/>
      <c r="C8" s="96" t="s">
        <v>52</v>
      </c>
      <c r="D8" s="119" t="s">
        <v>114</v>
      </c>
      <c r="E8" s="126">
        <v>-575</v>
      </c>
      <c r="F8" s="638">
        <v>-113</v>
      </c>
      <c r="G8" s="639">
        <v>0</v>
      </c>
      <c r="H8" s="638">
        <v>-100</v>
      </c>
      <c r="I8" s="132">
        <v>0</v>
      </c>
      <c r="J8" s="132">
        <v>0</v>
      </c>
      <c r="K8" s="132">
        <v>0</v>
      </c>
      <c r="L8" s="132">
        <v>0</v>
      </c>
      <c r="M8" s="184">
        <f>SUM(F8:L8)</f>
        <v>-213</v>
      </c>
      <c r="P8" s="670"/>
    </row>
    <row r="9" spans="2:16">
      <c r="B9" s="95"/>
      <c r="C9" s="96" t="s">
        <v>53</v>
      </c>
      <c r="D9" s="119" t="s">
        <v>115</v>
      </c>
      <c r="E9" s="185">
        <v>0</v>
      </c>
      <c r="F9" s="639">
        <v>0</v>
      </c>
      <c r="G9" s="639">
        <v>0</v>
      </c>
      <c r="H9" s="639">
        <v>-4</v>
      </c>
      <c r="I9" s="132">
        <v>0</v>
      </c>
      <c r="J9" s="126">
        <v>-7</v>
      </c>
      <c r="K9" s="126">
        <v>-2</v>
      </c>
      <c r="L9" s="126">
        <v>-10</v>
      </c>
      <c r="M9" s="184">
        <f>SUM(F9:L9)</f>
        <v>-23</v>
      </c>
    </row>
    <row r="10" spans="2:16">
      <c r="B10" s="95"/>
      <c r="C10" s="96" t="s">
        <v>143</v>
      </c>
      <c r="D10" s="119" t="s">
        <v>116</v>
      </c>
      <c r="E10" s="185">
        <v>0</v>
      </c>
      <c r="F10" s="639">
        <v>0</v>
      </c>
      <c r="G10" s="639">
        <v>0</v>
      </c>
      <c r="H10" s="639">
        <v>0</v>
      </c>
      <c r="I10" s="132">
        <v>-1</v>
      </c>
      <c r="J10" s="639">
        <v>0</v>
      </c>
      <c r="K10" s="639">
        <v>0</v>
      </c>
      <c r="L10" s="639">
        <v>0</v>
      </c>
      <c r="M10" s="184">
        <f>SUM(F10:L10)</f>
        <v>-1</v>
      </c>
    </row>
    <row r="11" spans="2:16" ht="12.75" thickBot="1">
      <c r="B11" s="697" t="s">
        <v>118</v>
      </c>
      <c r="C11" s="698"/>
      <c r="D11" s="211"/>
      <c r="E11" s="138">
        <f t="shared" ref="E11:M11" si="0">SUM(E7:E10)</f>
        <v>703</v>
      </c>
      <c r="F11" s="632">
        <f t="shared" si="0"/>
        <v>96</v>
      </c>
      <c r="G11" s="632">
        <f t="shared" si="0"/>
        <v>53</v>
      </c>
      <c r="H11" s="632">
        <f t="shared" si="0"/>
        <v>44</v>
      </c>
      <c r="I11" s="138">
        <f t="shared" si="0"/>
        <v>2</v>
      </c>
      <c r="J11" s="138">
        <f t="shared" si="0"/>
        <v>138</v>
      </c>
      <c r="K11" s="138">
        <f t="shared" si="0"/>
        <v>90</v>
      </c>
      <c r="L11" s="138">
        <f t="shared" si="0"/>
        <v>76</v>
      </c>
      <c r="M11" s="189">
        <f t="shared" si="0"/>
        <v>499</v>
      </c>
    </row>
    <row r="12" spans="2:16" ht="5.25" customHeight="1" thickTop="1" thickBot="1">
      <c r="B12" s="105"/>
      <c r="C12" s="106"/>
      <c r="D12" s="107"/>
      <c r="E12" s="106"/>
      <c r="F12" s="640"/>
      <c r="G12" s="640"/>
      <c r="H12" s="640"/>
      <c r="I12" s="108"/>
      <c r="J12" s="108"/>
      <c r="K12" s="108"/>
      <c r="L12" s="108"/>
      <c r="M12" s="109"/>
    </row>
    <row r="13" spans="2:16" ht="12.75" customHeight="1" thickBot="1">
      <c r="B13" s="110"/>
      <c r="C13" s="111"/>
      <c r="D13" s="112"/>
      <c r="E13" s="111"/>
      <c r="F13" s="641"/>
      <c r="G13" s="641"/>
      <c r="H13" s="641"/>
      <c r="I13" s="111"/>
      <c r="J13" s="111"/>
      <c r="K13" s="111"/>
      <c r="L13" s="111"/>
      <c r="M13" s="111"/>
    </row>
    <row r="14" spans="2:16" ht="48">
      <c r="B14" s="196" t="str">
        <f>B6</f>
        <v>Three Months Ended March 31, 2015</v>
      </c>
      <c r="C14" s="197"/>
      <c r="D14" s="113"/>
      <c r="E14" s="114" t="s">
        <v>125</v>
      </c>
      <c r="F14" s="441" t="s">
        <v>120</v>
      </c>
      <c r="G14" s="441" t="s">
        <v>121</v>
      </c>
      <c r="H14" s="442" t="s">
        <v>122</v>
      </c>
      <c r="I14" s="116"/>
      <c r="J14" s="117"/>
      <c r="K14" s="118"/>
      <c r="L14" s="110"/>
      <c r="M14" s="110"/>
    </row>
    <row r="15" spans="2:16">
      <c r="B15" s="695" t="s">
        <v>112</v>
      </c>
      <c r="C15" s="696"/>
      <c r="D15" s="119"/>
      <c r="E15" s="120">
        <f>E7-M7</f>
        <v>542</v>
      </c>
      <c r="F15" s="630">
        <v>394</v>
      </c>
      <c r="G15" s="443">
        <v>0.54</v>
      </c>
      <c r="H15" s="444">
        <v>0.53</v>
      </c>
      <c r="I15" s="123"/>
      <c r="J15" s="124"/>
      <c r="K15" s="118"/>
      <c r="L15" s="110"/>
      <c r="M15" s="110"/>
      <c r="N15" s="110"/>
    </row>
    <row r="16" spans="2:16" ht="12" customHeight="1">
      <c r="B16" s="95"/>
      <c r="C16" s="96" t="s">
        <v>52</v>
      </c>
      <c r="D16" s="119" t="s">
        <v>114</v>
      </c>
      <c r="E16" s="125">
        <f>E8-M8</f>
        <v>-362</v>
      </c>
      <c r="F16" s="631">
        <v>-295</v>
      </c>
      <c r="G16" s="445">
        <v>-0.4</v>
      </c>
      <c r="H16" s="446">
        <v>-0.4</v>
      </c>
      <c r="I16" s="123"/>
      <c r="J16" s="123"/>
      <c r="K16" s="123"/>
      <c r="L16" s="123"/>
      <c r="M16" s="123"/>
      <c r="N16" s="130"/>
    </row>
    <row r="17" spans="2:16">
      <c r="B17" s="95"/>
      <c r="C17" s="96" t="s">
        <v>53</v>
      </c>
      <c r="D17" s="119" t="s">
        <v>115</v>
      </c>
      <c r="E17" s="125">
        <f>E9-M9</f>
        <v>23</v>
      </c>
      <c r="F17" s="631">
        <v>16</v>
      </c>
      <c r="G17" s="445">
        <v>0.02</v>
      </c>
      <c r="H17" s="446">
        <v>0.02</v>
      </c>
      <c r="I17" s="129"/>
      <c r="J17" s="129"/>
      <c r="K17" s="130"/>
      <c r="L17" s="130"/>
      <c r="M17" s="130"/>
      <c r="N17" s="130"/>
    </row>
    <row r="18" spans="2:16">
      <c r="B18" s="95"/>
      <c r="C18" s="96" t="s">
        <v>318</v>
      </c>
      <c r="D18" s="119" t="s">
        <v>116</v>
      </c>
      <c r="E18" s="125">
        <f>E10-M10</f>
        <v>1</v>
      </c>
      <c r="F18" s="631">
        <v>1</v>
      </c>
      <c r="G18" s="533">
        <v>0</v>
      </c>
      <c r="H18" s="446">
        <v>0</v>
      </c>
      <c r="I18" s="129"/>
      <c r="J18" s="129"/>
      <c r="K18" s="130"/>
      <c r="L18" s="130"/>
      <c r="M18" s="130"/>
      <c r="N18" s="130"/>
    </row>
    <row r="19" spans="2:16" ht="12.75" thickBot="1">
      <c r="B19" s="697" t="s">
        <v>118</v>
      </c>
      <c r="C19" s="698"/>
      <c r="D19" s="137"/>
      <c r="E19" s="138">
        <f>SUM(E15:E18)</f>
        <v>204</v>
      </c>
      <c r="F19" s="632">
        <f>SUM(F15:F18)</f>
        <v>116</v>
      </c>
      <c r="G19" s="450">
        <v>0.16</v>
      </c>
      <c r="H19" s="451">
        <v>0.16</v>
      </c>
      <c r="I19" s="141"/>
      <c r="J19" s="111"/>
      <c r="K19" s="111"/>
      <c r="L19" s="111"/>
      <c r="M19" s="111"/>
      <c r="N19" s="111"/>
    </row>
    <row r="20" spans="2:16" ht="5.25" customHeight="1" thickTop="1" thickBot="1">
      <c r="B20" s="142"/>
      <c r="C20" s="143"/>
      <c r="D20" s="144"/>
      <c r="E20" s="145"/>
      <c r="F20" s="633"/>
      <c r="G20" s="633"/>
      <c r="H20" s="634"/>
      <c r="I20" s="110"/>
      <c r="J20" s="111"/>
      <c r="K20" s="111"/>
      <c r="L20" s="111"/>
      <c r="M20" s="111"/>
      <c r="N20" s="111"/>
    </row>
    <row r="21" spans="2:16" ht="12.75" thickBot="1">
      <c r="B21" s="110"/>
      <c r="C21" s="110"/>
      <c r="D21" s="176"/>
      <c r="E21" s="110"/>
      <c r="F21" s="635"/>
      <c r="G21" s="635"/>
      <c r="H21" s="635"/>
      <c r="I21" s="110"/>
      <c r="J21" s="111"/>
      <c r="K21" s="111"/>
      <c r="L21" s="111"/>
      <c r="M21" s="111"/>
      <c r="N21" s="111"/>
    </row>
    <row r="22" spans="2:16" ht="48">
      <c r="B22" s="177" t="s">
        <v>354</v>
      </c>
      <c r="C22" s="178"/>
      <c r="D22" s="179"/>
      <c r="E22" s="88" t="s">
        <v>104</v>
      </c>
      <c r="F22" s="636" t="s">
        <v>105</v>
      </c>
      <c r="G22" s="636" t="s">
        <v>314</v>
      </c>
      <c r="H22" s="636" t="s">
        <v>106</v>
      </c>
      <c r="I22" s="88" t="s">
        <v>107</v>
      </c>
      <c r="J22" s="88" t="s">
        <v>108</v>
      </c>
      <c r="K22" s="88" t="s">
        <v>109</v>
      </c>
      <c r="L22" s="88" t="s">
        <v>110</v>
      </c>
      <c r="M22" s="89" t="s">
        <v>111</v>
      </c>
    </row>
    <row r="23" spans="2:16">
      <c r="B23" s="695" t="s">
        <v>112</v>
      </c>
      <c r="C23" s="696"/>
      <c r="D23" s="182"/>
      <c r="E23" s="120">
        <v>1044</v>
      </c>
      <c r="F23" s="637">
        <v>156</v>
      </c>
      <c r="G23" s="637">
        <v>53</v>
      </c>
      <c r="H23" s="637">
        <v>85</v>
      </c>
      <c r="I23" s="120">
        <v>3</v>
      </c>
      <c r="J23" s="120">
        <v>149</v>
      </c>
      <c r="K23" s="120">
        <v>164</v>
      </c>
      <c r="L23" s="120">
        <v>102</v>
      </c>
      <c r="M23" s="183">
        <f>SUM(F23:L23)</f>
        <v>712</v>
      </c>
    </row>
    <row r="24" spans="2:16" ht="12" customHeight="1">
      <c r="B24" s="95"/>
      <c r="C24" s="96" t="s">
        <v>52</v>
      </c>
      <c r="D24" s="119" t="s">
        <v>114</v>
      </c>
      <c r="E24" s="126">
        <v>-285</v>
      </c>
      <c r="F24" s="638">
        <v>-59</v>
      </c>
      <c r="G24" s="639">
        <v>0</v>
      </c>
      <c r="H24" s="638">
        <v>-45</v>
      </c>
      <c r="I24" s="132">
        <v>0</v>
      </c>
      <c r="J24" s="132">
        <v>0</v>
      </c>
      <c r="K24" s="132">
        <v>0</v>
      </c>
      <c r="L24" s="132">
        <v>0</v>
      </c>
      <c r="M24" s="184">
        <f>SUM(F24:L24)</f>
        <v>-104</v>
      </c>
      <c r="P24" s="670"/>
    </row>
    <row r="25" spans="2:16">
      <c r="B25" s="95"/>
      <c r="C25" s="96" t="s">
        <v>53</v>
      </c>
      <c r="D25" s="119" t="s">
        <v>115</v>
      </c>
      <c r="E25" s="185">
        <v>0</v>
      </c>
      <c r="F25" s="639">
        <v>0</v>
      </c>
      <c r="G25" s="639">
        <v>0</v>
      </c>
      <c r="H25" s="639">
        <v>-3</v>
      </c>
      <c r="I25" s="132">
        <v>0</v>
      </c>
      <c r="J25" s="126">
        <v>-6</v>
      </c>
      <c r="K25" s="126">
        <v>-2</v>
      </c>
      <c r="L25" s="126">
        <v>-10</v>
      </c>
      <c r="M25" s="184">
        <f>SUM(F25:L25)</f>
        <v>-21</v>
      </c>
    </row>
    <row r="26" spans="2:16">
      <c r="B26" s="95"/>
      <c r="C26" s="96" t="s">
        <v>143</v>
      </c>
      <c r="D26" s="119" t="s">
        <v>116</v>
      </c>
      <c r="E26" s="185">
        <v>0</v>
      </c>
      <c r="F26" s="639">
        <v>0</v>
      </c>
      <c r="G26" s="639">
        <v>0</v>
      </c>
      <c r="H26" s="639">
        <v>0</v>
      </c>
      <c r="I26" s="132">
        <v>-1</v>
      </c>
      <c r="J26" s="639">
        <v>0</v>
      </c>
      <c r="K26" s="639">
        <v>0</v>
      </c>
      <c r="L26" s="639">
        <v>0</v>
      </c>
      <c r="M26" s="184">
        <f>SUM(F26:L26)</f>
        <v>-1</v>
      </c>
    </row>
    <row r="27" spans="2:16" ht="12.75" thickBot="1">
      <c r="B27" s="697" t="s">
        <v>118</v>
      </c>
      <c r="C27" s="698"/>
      <c r="D27" s="211"/>
      <c r="E27" s="138">
        <f t="shared" ref="E27:M27" si="1">SUM(E23:E26)</f>
        <v>759</v>
      </c>
      <c r="F27" s="632">
        <f t="shared" si="1"/>
        <v>97</v>
      </c>
      <c r="G27" s="632">
        <f t="shared" si="1"/>
        <v>53</v>
      </c>
      <c r="H27" s="632">
        <f t="shared" si="1"/>
        <v>37</v>
      </c>
      <c r="I27" s="138">
        <f t="shared" si="1"/>
        <v>2</v>
      </c>
      <c r="J27" s="138">
        <f t="shared" si="1"/>
        <v>143</v>
      </c>
      <c r="K27" s="138">
        <f t="shared" si="1"/>
        <v>162</v>
      </c>
      <c r="L27" s="138">
        <f t="shared" si="1"/>
        <v>92</v>
      </c>
      <c r="M27" s="189">
        <f t="shared" si="1"/>
        <v>586</v>
      </c>
    </row>
    <row r="28" spans="2:16" ht="5.25" customHeight="1" thickTop="1" thickBot="1">
      <c r="B28" s="105"/>
      <c r="C28" s="106"/>
      <c r="D28" s="107"/>
      <c r="E28" s="106"/>
      <c r="F28" s="640"/>
      <c r="G28" s="640"/>
      <c r="H28" s="640"/>
      <c r="I28" s="108"/>
      <c r="J28" s="108"/>
      <c r="K28" s="108"/>
      <c r="L28" s="108"/>
      <c r="M28" s="109"/>
    </row>
    <row r="29" spans="2:16" ht="12.75" customHeight="1" thickBot="1">
      <c r="B29" s="110"/>
      <c r="C29" s="111"/>
      <c r="D29" s="112"/>
      <c r="E29" s="111"/>
      <c r="F29" s="641"/>
      <c r="G29" s="641"/>
      <c r="H29" s="641"/>
      <c r="I29" s="111"/>
      <c r="J29" s="111"/>
      <c r="K29" s="111"/>
      <c r="L29" s="111"/>
      <c r="M29" s="111"/>
    </row>
    <row r="30" spans="2:16" ht="48">
      <c r="B30" s="196" t="str">
        <f>B22</f>
        <v>Three Months Ended June 30, 2015</v>
      </c>
      <c r="C30" s="197"/>
      <c r="D30" s="113"/>
      <c r="E30" s="114" t="s">
        <v>125</v>
      </c>
      <c r="F30" s="441" t="s">
        <v>120</v>
      </c>
      <c r="G30" s="441" t="s">
        <v>121</v>
      </c>
      <c r="H30" s="442" t="s">
        <v>122</v>
      </c>
      <c r="I30" s="116"/>
      <c r="J30" s="117"/>
      <c r="K30" s="118"/>
      <c r="L30" s="110"/>
      <c r="M30" s="110"/>
    </row>
    <row r="31" spans="2:16">
      <c r="B31" s="695" t="s">
        <v>112</v>
      </c>
      <c r="C31" s="696"/>
      <c r="D31" s="119"/>
      <c r="E31" s="120">
        <f>E23-M23</f>
        <v>332</v>
      </c>
      <c r="F31" s="630">
        <v>212</v>
      </c>
      <c r="G31" s="443">
        <v>0.28999999999999998</v>
      </c>
      <c r="H31" s="444">
        <v>0.28999999999999998</v>
      </c>
      <c r="I31" s="123"/>
      <c r="J31" s="124"/>
      <c r="K31" s="118"/>
      <c r="L31" s="110"/>
      <c r="M31" s="110"/>
      <c r="N31" s="110"/>
    </row>
    <row r="32" spans="2:16" ht="12" customHeight="1">
      <c r="B32" s="95"/>
      <c r="C32" s="96" t="s">
        <v>52</v>
      </c>
      <c r="D32" s="119" t="s">
        <v>114</v>
      </c>
      <c r="E32" s="125">
        <f>E24-M24</f>
        <v>-181</v>
      </c>
      <c r="F32" s="631">
        <v>-136</v>
      </c>
      <c r="G32" s="445">
        <v>-0.18</v>
      </c>
      <c r="H32" s="446">
        <v>-0.18</v>
      </c>
      <c r="I32" s="677"/>
      <c r="J32" s="123"/>
      <c r="K32" s="123"/>
      <c r="L32" s="123"/>
      <c r="M32" s="123"/>
      <c r="N32" s="130"/>
    </row>
    <row r="33" spans="2:16">
      <c r="B33" s="95"/>
      <c r="C33" s="96" t="s">
        <v>53</v>
      </c>
      <c r="D33" s="119" t="s">
        <v>115</v>
      </c>
      <c r="E33" s="125">
        <f>E25-M25</f>
        <v>21</v>
      </c>
      <c r="F33" s="631">
        <v>16</v>
      </c>
      <c r="G33" s="445">
        <v>0.02</v>
      </c>
      <c r="H33" s="446">
        <v>0.02</v>
      </c>
      <c r="I33" s="677"/>
      <c r="J33" s="129"/>
      <c r="K33" s="130"/>
      <c r="L33" s="130"/>
      <c r="M33" s="130"/>
      <c r="N33" s="130"/>
    </row>
    <row r="34" spans="2:16">
      <c r="B34" s="95"/>
      <c r="C34" s="96" t="s">
        <v>318</v>
      </c>
      <c r="D34" s="119" t="s">
        <v>116</v>
      </c>
      <c r="E34" s="125">
        <f>E26-M26</f>
        <v>1</v>
      </c>
      <c r="F34" s="631">
        <v>1</v>
      </c>
      <c r="G34" s="533">
        <v>0</v>
      </c>
      <c r="H34" s="446">
        <v>0</v>
      </c>
      <c r="I34" s="677"/>
      <c r="J34" s="129"/>
      <c r="K34" s="130"/>
      <c r="L34" s="130"/>
      <c r="M34" s="130"/>
      <c r="N34" s="130"/>
    </row>
    <row r="35" spans="2:16" ht="12.75" thickBot="1">
      <c r="B35" s="697" t="s">
        <v>118</v>
      </c>
      <c r="C35" s="698"/>
      <c r="D35" s="137"/>
      <c r="E35" s="138">
        <f>SUM(E31:E34)</f>
        <v>173</v>
      </c>
      <c r="F35" s="632">
        <f>SUM(F31:F34)</f>
        <v>93</v>
      </c>
      <c r="G35" s="450">
        <v>0.13</v>
      </c>
      <c r="H35" s="451">
        <v>0.13</v>
      </c>
      <c r="I35" s="141"/>
      <c r="J35" s="111"/>
      <c r="K35" s="111"/>
      <c r="L35" s="111"/>
      <c r="M35" s="111"/>
      <c r="N35" s="111"/>
    </row>
    <row r="36" spans="2:16" ht="5.25" customHeight="1" thickTop="1" thickBot="1">
      <c r="B36" s="142"/>
      <c r="C36" s="143"/>
      <c r="D36" s="144"/>
      <c r="E36" s="145"/>
      <c r="F36" s="633"/>
      <c r="G36" s="633"/>
      <c r="H36" s="634"/>
      <c r="I36" s="110"/>
      <c r="J36" s="111"/>
      <c r="K36" s="111"/>
      <c r="L36" s="111"/>
      <c r="M36" s="111"/>
      <c r="N36" s="111"/>
    </row>
    <row r="37" spans="2:16" ht="12.75" thickBot="1">
      <c r="B37" s="110"/>
      <c r="C37" s="110"/>
      <c r="D37" s="176"/>
      <c r="E37" s="110"/>
      <c r="F37" s="635"/>
      <c r="G37" s="635"/>
      <c r="H37" s="635"/>
      <c r="I37" s="110"/>
      <c r="J37" s="111"/>
      <c r="K37" s="111"/>
      <c r="L37" s="111"/>
      <c r="M37" s="111"/>
      <c r="N37" s="111"/>
    </row>
    <row r="38" spans="2:16" ht="48">
      <c r="B38" s="177" t="s">
        <v>357</v>
      </c>
      <c r="C38" s="178"/>
      <c r="D38" s="179"/>
      <c r="E38" s="88" t="s">
        <v>104</v>
      </c>
      <c r="F38" s="636" t="s">
        <v>105</v>
      </c>
      <c r="G38" s="636" t="s">
        <v>314</v>
      </c>
      <c r="H38" s="636" t="s">
        <v>106</v>
      </c>
      <c r="I38" s="88" t="s">
        <v>107</v>
      </c>
      <c r="J38" s="88" t="s">
        <v>108</v>
      </c>
      <c r="K38" s="88" t="s">
        <v>109</v>
      </c>
      <c r="L38" s="88" t="s">
        <v>110</v>
      </c>
      <c r="M38" s="89" t="s">
        <v>111</v>
      </c>
    </row>
    <row r="39" spans="2:16">
      <c r="B39" s="695" t="s">
        <v>112</v>
      </c>
      <c r="C39" s="696"/>
      <c r="D39" s="182"/>
      <c r="E39" s="120">
        <v>990</v>
      </c>
      <c r="F39" s="637">
        <v>195</v>
      </c>
      <c r="G39" s="637">
        <v>56</v>
      </c>
      <c r="H39" s="637">
        <v>81</v>
      </c>
      <c r="I39" s="120">
        <v>5</v>
      </c>
      <c r="J39" s="120">
        <v>159</v>
      </c>
      <c r="K39" s="120">
        <v>189</v>
      </c>
      <c r="L39" s="120">
        <v>109</v>
      </c>
      <c r="M39" s="183">
        <f>SUM(F39:L39)</f>
        <v>794</v>
      </c>
    </row>
    <row r="40" spans="2:16" ht="12" customHeight="1">
      <c r="B40" s="95"/>
      <c r="C40" s="96" t="s">
        <v>52</v>
      </c>
      <c r="D40" s="119" t="s">
        <v>114</v>
      </c>
      <c r="E40" s="126">
        <v>50</v>
      </c>
      <c r="F40" s="638">
        <v>7</v>
      </c>
      <c r="G40" s="639">
        <v>0</v>
      </c>
      <c r="H40" s="638">
        <v>17</v>
      </c>
      <c r="I40" s="132">
        <v>0</v>
      </c>
      <c r="J40" s="132">
        <v>0</v>
      </c>
      <c r="K40" s="132">
        <v>0</v>
      </c>
      <c r="L40" s="132">
        <v>0</v>
      </c>
      <c r="M40" s="184">
        <f>SUM(F40:L40)</f>
        <v>24</v>
      </c>
      <c r="P40" s="670"/>
    </row>
    <row r="41" spans="2:16">
      <c r="B41" s="95"/>
      <c r="C41" s="96" t="s">
        <v>53</v>
      </c>
      <c r="D41" s="119" t="s">
        <v>115</v>
      </c>
      <c r="E41" s="185">
        <v>0</v>
      </c>
      <c r="F41" s="639">
        <v>0</v>
      </c>
      <c r="G41" s="639">
        <v>-1</v>
      </c>
      <c r="H41" s="639">
        <v>-4</v>
      </c>
      <c r="I41" s="132">
        <v>0</v>
      </c>
      <c r="J41" s="126">
        <v>-6</v>
      </c>
      <c r="K41" s="126">
        <v>-2</v>
      </c>
      <c r="L41" s="126">
        <v>-15</v>
      </c>
      <c r="M41" s="184">
        <f>SUM(F41:L41)</f>
        <v>-28</v>
      </c>
    </row>
    <row r="42" spans="2:16">
      <c r="B42" s="95"/>
      <c r="C42" s="96" t="s">
        <v>143</v>
      </c>
      <c r="D42" s="119" t="s">
        <v>116</v>
      </c>
      <c r="E42" s="185">
        <v>0</v>
      </c>
      <c r="F42" s="639">
        <v>0</v>
      </c>
      <c r="G42" s="639">
        <v>0</v>
      </c>
      <c r="H42" s="639">
        <v>0</v>
      </c>
      <c r="I42" s="132">
        <v>-1</v>
      </c>
      <c r="J42" s="639">
        <v>0</v>
      </c>
      <c r="K42" s="639">
        <v>0</v>
      </c>
      <c r="L42" s="639">
        <v>0</v>
      </c>
      <c r="M42" s="184">
        <f>SUM(F42:L42)</f>
        <v>-1</v>
      </c>
    </row>
    <row r="43" spans="2:16" ht="12.75" thickBot="1">
      <c r="B43" s="697" t="s">
        <v>118</v>
      </c>
      <c r="C43" s="698"/>
      <c r="D43" s="211"/>
      <c r="E43" s="138">
        <f t="shared" ref="E43:M43" si="2">SUM(E39:E42)</f>
        <v>1040</v>
      </c>
      <c r="F43" s="632">
        <f t="shared" si="2"/>
        <v>202</v>
      </c>
      <c r="G43" s="632">
        <f t="shared" si="2"/>
        <v>55</v>
      </c>
      <c r="H43" s="632">
        <f t="shared" si="2"/>
        <v>94</v>
      </c>
      <c r="I43" s="138">
        <f t="shared" si="2"/>
        <v>4</v>
      </c>
      <c r="J43" s="138">
        <f t="shared" si="2"/>
        <v>153</v>
      </c>
      <c r="K43" s="138">
        <f t="shared" si="2"/>
        <v>187</v>
      </c>
      <c r="L43" s="138">
        <f t="shared" si="2"/>
        <v>94</v>
      </c>
      <c r="M43" s="189">
        <f t="shared" si="2"/>
        <v>789</v>
      </c>
    </row>
    <row r="44" spans="2:16" ht="5.25" customHeight="1" thickTop="1" thickBot="1">
      <c r="B44" s="105"/>
      <c r="C44" s="106"/>
      <c r="D44" s="107"/>
      <c r="E44" s="106"/>
      <c r="F44" s="640"/>
      <c r="G44" s="640"/>
      <c r="H44" s="640"/>
      <c r="I44" s="108"/>
      <c r="J44" s="108"/>
      <c r="K44" s="108"/>
      <c r="L44" s="108"/>
      <c r="M44" s="109"/>
    </row>
    <row r="45" spans="2:16" ht="12.75" customHeight="1" thickBot="1">
      <c r="B45" s="110"/>
      <c r="C45" s="111"/>
      <c r="D45" s="112"/>
      <c r="E45" s="111"/>
      <c r="F45" s="641"/>
      <c r="G45" s="641"/>
      <c r="H45" s="641"/>
      <c r="I45" s="111"/>
      <c r="J45" s="111"/>
      <c r="K45" s="111"/>
      <c r="L45" s="111"/>
      <c r="M45" s="111"/>
    </row>
    <row r="46" spans="2:16" ht="48">
      <c r="B46" s="196" t="str">
        <f>B38</f>
        <v>Three Months Ended September 30, 2015</v>
      </c>
      <c r="C46" s="197"/>
      <c r="D46" s="113"/>
      <c r="E46" s="114" t="s">
        <v>125</v>
      </c>
      <c r="F46" s="441" t="s">
        <v>120</v>
      </c>
      <c r="G46" s="441" t="s">
        <v>121</v>
      </c>
      <c r="H46" s="442" t="s">
        <v>122</v>
      </c>
      <c r="I46" s="116"/>
      <c r="J46" s="117"/>
      <c r="K46" s="118"/>
      <c r="L46" s="110"/>
      <c r="M46" s="110"/>
    </row>
    <row r="47" spans="2:16">
      <c r="B47" s="695" t="s">
        <v>112</v>
      </c>
      <c r="C47" s="696"/>
      <c r="D47" s="119"/>
      <c r="E47" s="120">
        <f>E39-M39</f>
        <v>196</v>
      </c>
      <c r="F47" s="630">
        <v>127</v>
      </c>
      <c r="G47" s="443">
        <v>0.17</v>
      </c>
      <c r="H47" s="444">
        <v>0.17</v>
      </c>
      <c r="I47" s="123"/>
      <c r="J47" s="124"/>
      <c r="K47" s="118"/>
      <c r="L47" s="110"/>
      <c r="M47" s="110"/>
      <c r="N47" s="110"/>
    </row>
    <row r="48" spans="2:16" ht="12" customHeight="1">
      <c r="B48" s="95"/>
      <c r="C48" s="96" t="s">
        <v>52</v>
      </c>
      <c r="D48" s="119" t="s">
        <v>114</v>
      </c>
      <c r="E48" s="125">
        <f>E40-M40</f>
        <v>26</v>
      </c>
      <c r="F48" s="631">
        <v>11</v>
      </c>
      <c r="G48" s="445">
        <v>0.01</v>
      </c>
      <c r="H48" s="446">
        <v>0.01</v>
      </c>
      <c r="I48" s="123"/>
      <c r="J48" s="123"/>
      <c r="K48" s="123"/>
      <c r="L48" s="123"/>
      <c r="M48" s="123"/>
      <c r="N48" s="130"/>
    </row>
    <row r="49" spans="2:14">
      <c r="B49" s="95"/>
      <c r="C49" s="96" t="s">
        <v>53</v>
      </c>
      <c r="D49" s="119" t="s">
        <v>115</v>
      </c>
      <c r="E49" s="125">
        <f>E41-M41</f>
        <v>28</v>
      </c>
      <c r="F49" s="631">
        <v>19</v>
      </c>
      <c r="G49" s="445">
        <v>0.03</v>
      </c>
      <c r="H49" s="446">
        <v>0.03</v>
      </c>
      <c r="I49" s="129"/>
      <c r="J49" s="129"/>
      <c r="K49" s="130"/>
      <c r="L49" s="130"/>
      <c r="M49" s="130"/>
      <c r="N49" s="130"/>
    </row>
    <row r="50" spans="2:14">
      <c r="B50" s="95"/>
      <c r="C50" s="96" t="s">
        <v>318</v>
      </c>
      <c r="D50" s="119" t="s">
        <v>116</v>
      </c>
      <c r="E50" s="125">
        <f>E42-M42</f>
        <v>1</v>
      </c>
      <c r="F50" s="631">
        <v>1</v>
      </c>
      <c r="G50" s="533">
        <v>0</v>
      </c>
      <c r="H50" s="446">
        <v>0</v>
      </c>
      <c r="I50" s="129"/>
      <c r="J50" s="129"/>
      <c r="K50" s="130"/>
      <c r="L50" s="130"/>
      <c r="M50" s="130"/>
      <c r="N50" s="130"/>
    </row>
    <row r="51" spans="2:14" ht="12.75" thickBot="1">
      <c r="B51" s="697" t="s">
        <v>118</v>
      </c>
      <c r="C51" s="698"/>
      <c r="D51" s="137"/>
      <c r="E51" s="138">
        <f>SUM(E47:E50)</f>
        <v>251</v>
      </c>
      <c r="F51" s="632">
        <f>SUM(F47:F50)</f>
        <v>158</v>
      </c>
      <c r="G51" s="450">
        <v>0.21</v>
      </c>
      <c r="H51" s="451">
        <v>0.21</v>
      </c>
      <c r="I51" s="141"/>
      <c r="J51" s="111"/>
      <c r="K51" s="111"/>
      <c r="L51" s="111"/>
      <c r="M51" s="111"/>
      <c r="N51" s="111"/>
    </row>
    <row r="52" spans="2:14" ht="5.25" customHeight="1" thickTop="1" thickBot="1">
      <c r="B52" s="142"/>
      <c r="C52" s="143"/>
      <c r="D52" s="144"/>
      <c r="E52" s="145"/>
      <c r="F52" s="633"/>
      <c r="G52" s="633"/>
      <c r="H52" s="634"/>
      <c r="I52" s="110"/>
      <c r="J52" s="111"/>
      <c r="K52" s="111"/>
      <c r="L52" s="111"/>
      <c r="M52" s="111"/>
      <c r="N52" s="111"/>
    </row>
    <row r="53" spans="2:14">
      <c r="B53" s="110"/>
      <c r="C53" s="110"/>
      <c r="D53" s="176"/>
      <c r="E53" s="110"/>
      <c r="F53" s="635"/>
      <c r="G53" s="635"/>
      <c r="H53" s="635"/>
      <c r="I53" s="110"/>
      <c r="J53" s="111"/>
      <c r="K53" s="111"/>
      <c r="L53" s="111"/>
      <c r="M53" s="111"/>
      <c r="N53" s="111"/>
    </row>
    <row r="54" spans="2:14">
      <c r="B54" s="206"/>
      <c r="C54" s="700" t="s">
        <v>342</v>
      </c>
      <c r="D54" s="700"/>
      <c r="E54" s="700"/>
      <c r="F54" s="700"/>
      <c r="G54" s="700"/>
      <c r="H54" s="700"/>
      <c r="I54" s="700"/>
      <c r="J54" s="700"/>
      <c r="K54" s="700"/>
      <c r="L54" s="700"/>
      <c r="M54" s="700"/>
      <c r="N54" s="700"/>
    </row>
    <row r="55" spans="2:14">
      <c r="B55" s="206"/>
      <c r="C55" s="701" t="s">
        <v>130</v>
      </c>
      <c r="D55" s="701"/>
      <c r="E55" s="701"/>
      <c r="F55" s="701"/>
      <c r="G55" s="701"/>
      <c r="H55" s="701"/>
      <c r="I55" s="701"/>
      <c r="J55" s="701"/>
      <c r="K55" s="701"/>
      <c r="L55" s="701"/>
      <c r="M55" s="701"/>
      <c r="N55" s="701"/>
    </row>
    <row r="56" spans="2:14">
      <c r="B56" s="207"/>
      <c r="C56" s="700" t="s">
        <v>247</v>
      </c>
      <c r="D56" s="700"/>
      <c r="E56" s="700"/>
      <c r="F56" s="700"/>
      <c r="G56" s="700"/>
      <c r="H56" s="700"/>
      <c r="I56" s="700"/>
      <c r="J56" s="700"/>
      <c r="K56" s="700"/>
      <c r="L56" s="700"/>
      <c r="M56" s="700"/>
      <c r="N56" s="700"/>
    </row>
    <row r="57" spans="2:14">
      <c r="B57" s="207"/>
      <c r="C57" s="662"/>
      <c r="D57" s="213"/>
      <c r="E57" s="213"/>
      <c r="F57" s="213"/>
      <c r="G57" s="213"/>
      <c r="H57" s="213"/>
      <c r="I57" s="213"/>
      <c r="J57" s="213"/>
      <c r="K57" s="213"/>
      <c r="L57" s="213"/>
      <c r="M57" s="213"/>
      <c r="N57" s="213"/>
    </row>
    <row r="58" spans="2:14" ht="33.75" customHeight="1">
      <c r="B58" s="207"/>
      <c r="C58" s="702" t="s">
        <v>132</v>
      </c>
      <c r="D58" s="702"/>
      <c r="E58" s="702"/>
      <c r="F58" s="702"/>
      <c r="G58" s="702"/>
      <c r="H58" s="702"/>
      <c r="I58" s="702"/>
      <c r="J58" s="702"/>
      <c r="K58" s="702"/>
      <c r="L58" s="702"/>
      <c r="M58" s="702"/>
      <c r="N58" s="702"/>
    </row>
  </sheetData>
  <sheetProtection formatCells="0" formatColumns="0" formatRows="0" sort="0" autoFilter="0" pivotTables="0"/>
  <mergeCells count="19">
    <mergeCell ref="B19:C19"/>
    <mergeCell ref="C54:N54"/>
    <mergeCell ref="C55:N55"/>
    <mergeCell ref="C56:N56"/>
    <mergeCell ref="C58:N58"/>
    <mergeCell ref="B23:C23"/>
    <mergeCell ref="B27:C27"/>
    <mergeCell ref="B31:C31"/>
    <mergeCell ref="B35:C35"/>
    <mergeCell ref="B39:C39"/>
    <mergeCell ref="B43:C43"/>
    <mergeCell ref="B47:C47"/>
    <mergeCell ref="B51:C51"/>
    <mergeCell ref="B7:C7"/>
    <mergeCell ref="B11:C11"/>
    <mergeCell ref="B15:C15"/>
    <mergeCell ref="B1:N1"/>
    <mergeCell ref="B2:N2"/>
    <mergeCell ref="B3:N3"/>
  </mergeCells>
  <pageMargins left="0.7" right="0.7" top="0.25" bottom="0.44" header="0.3" footer="0.3"/>
  <pageSetup scale="67" orientation="landscape" r:id="rId1"/>
  <headerFooter>
    <oddFooter>&amp;LActivision Blizzard, Inc.&amp;R&amp;P of &amp; 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P81"/>
  <sheetViews>
    <sheetView showGridLines="0" view="pageBreakPreview" topLeftCell="A58" zoomScale="80" zoomScaleNormal="100" zoomScaleSheetLayoutView="80" workbookViewId="0"/>
  </sheetViews>
  <sheetFormatPr defaultColWidth="9.140625" defaultRowHeight="12"/>
  <cols>
    <col min="1" max="1" width="2.85546875" style="81" customWidth="1"/>
    <col min="2" max="2" width="1.42578125" style="81" customWidth="1"/>
    <col min="3" max="3" width="58.28515625" style="81" customWidth="1"/>
    <col min="4" max="4" width="3.42578125" style="81" customWidth="1"/>
    <col min="5" max="5" width="11" style="81" customWidth="1"/>
    <col min="6" max="6" width="9.42578125" style="81" customWidth="1"/>
    <col min="7" max="7" width="9.28515625" style="81" customWidth="1"/>
    <col min="8" max="8" width="12.140625" style="81" customWidth="1"/>
    <col min="9" max="9" width="11.14062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9" t="s">
        <v>73</v>
      </c>
      <c r="C1" s="699"/>
      <c r="D1" s="699"/>
      <c r="E1" s="699"/>
      <c r="F1" s="699"/>
      <c r="G1" s="699"/>
      <c r="H1" s="699"/>
      <c r="I1" s="699"/>
      <c r="J1" s="699"/>
      <c r="K1" s="699"/>
      <c r="L1" s="699"/>
      <c r="M1" s="699"/>
      <c r="N1" s="699"/>
    </row>
    <row r="2" spans="2:14">
      <c r="B2" s="699" t="s">
        <v>251</v>
      </c>
      <c r="C2" s="699"/>
      <c r="D2" s="699"/>
      <c r="E2" s="699"/>
      <c r="F2" s="699"/>
      <c r="G2" s="699"/>
      <c r="H2" s="699"/>
      <c r="I2" s="699"/>
      <c r="J2" s="699"/>
      <c r="K2" s="699"/>
      <c r="L2" s="699"/>
      <c r="M2" s="699"/>
      <c r="N2" s="699"/>
    </row>
    <row r="3" spans="2:14">
      <c r="B3" s="699" t="s">
        <v>103</v>
      </c>
      <c r="C3" s="699"/>
      <c r="D3" s="699"/>
      <c r="E3" s="699"/>
      <c r="F3" s="699"/>
      <c r="G3" s="699"/>
      <c r="H3" s="699"/>
      <c r="I3" s="699"/>
      <c r="J3" s="699"/>
      <c r="K3" s="699"/>
      <c r="L3" s="699"/>
      <c r="M3" s="699"/>
      <c r="N3" s="699"/>
    </row>
    <row r="4" spans="2:14">
      <c r="B4" s="623"/>
      <c r="C4" s="623"/>
      <c r="D4" s="623"/>
      <c r="E4" s="623"/>
      <c r="F4" s="623"/>
      <c r="G4" s="623"/>
      <c r="H4" s="623"/>
      <c r="I4" s="623"/>
      <c r="J4" s="623"/>
      <c r="K4" s="623"/>
      <c r="L4" s="623"/>
      <c r="M4" s="623"/>
    </row>
    <row r="5" spans="2:14" ht="12.75" thickBot="1">
      <c r="B5" s="83"/>
      <c r="C5" s="84"/>
      <c r="D5" s="85"/>
      <c r="E5" s="84"/>
      <c r="F5" s="84"/>
      <c r="G5" s="85"/>
      <c r="H5" s="85"/>
      <c r="I5" s="85"/>
      <c r="J5" s="85"/>
      <c r="K5" s="86"/>
      <c r="L5" s="86"/>
      <c r="M5" s="86"/>
    </row>
    <row r="6" spans="2:14" ht="60">
      <c r="B6" s="177" t="s">
        <v>308</v>
      </c>
      <c r="C6" s="178"/>
      <c r="D6" s="179"/>
      <c r="E6" s="88" t="s">
        <v>104</v>
      </c>
      <c r="F6" s="88" t="s">
        <v>105</v>
      </c>
      <c r="G6" s="88" t="s">
        <v>314</v>
      </c>
      <c r="H6" s="88" t="s">
        <v>106</v>
      </c>
      <c r="I6" s="88" t="s">
        <v>107</v>
      </c>
      <c r="J6" s="88" t="s">
        <v>108</v>
      </c>
      <c r="K6" s="88" t="s">
        <v>109</v>
      </c>
      <c r="L6" s="88" t="s">
        <v>110</v>
      </c>
      <c r="M6" s="89" t="s">
        <v>111</v>
      </c>
    </row>
    <row r="7" spans="2:14">
      <c r="B7" s="695" t="s">
        <v>112</v>
      </c>
      <c r="C7" s="696"/>
      <c r="D7" s="182"/>
      <c r="E7" s="120">
        <v>1111</v>
      </c>
      <c r="F7" s="120">
        <v>225</v>
      </c>
      <c r="G7" s="120">
        <v>58</v>
      </c>
      <c r="H7" s="120">
        <v>57</v>
      </c>
      <c r="I7" s="120">
        <v>2</v>
      </c>
      <c r="J7" s="120">
        <v>143</v>
      </c>
      <c r="K7" s="120">
        <v>104</v>
      </c>
      <c r="L7" s="120">
        <v>95</v>
      </c>
      <c r="M7" s="183">
        <f>SUM(F7:L7)</f>
        <v>684</v>
      </c>
    </row>
    <row r="8" spans="2:14" ht="12" customHeight="1">
      <c r="B8" s="95"/>
      <c r="C8" s="96" t="s">
        <v>52</v>
      </c>
      <c r="D8" s="119" t="s">
        <v>114</v>
      </c>
      <c r="E8" s="126">
        <v>-339</v>
      </c>
      <c r="F8" s="126">
        <v>-95</v>
      </c>
      <c r="G8" s="132">
        <v>0</v>
      </c>
      <c r="H8" s="126">
        <v>-25</v>
      </c>
      <c r="I8" s="132">
        <v>0</v>
      </c>
      <c r="J8" s="132">
        <v>0</v>
      </c>
      <c r="K8" s="132">
        <v>0</v>
      </c>
      <c r="L8" s="132">
        <v>0</v>
      </c>
      <c r="M8" s="184">
        <f>SUM(F8:L8)</f>
        <v>-120</v>
      </c>
    </row>
    <row r="9" spans="2:14">
      <c r="B9" s="95"/>
      <c r="C9" s="96" t="s">
        <v>53</v>
      </c>
      <c r="D9" s="119" t="s">
        <v>115</v>
      </c>
      <c r="E9" s="185">
        <v>0</v>
      </c>
      <c r="F9" s="132">
        <v>0</v>
      </c>
      <c r="G9" s="132">
        <v>0</v>
      </c>
      <c r="H9" s="132">
        <v>-7</v>
      </c>
      <c r="I9" s="132">
        <v>0</v>
      </c>
      <c r="J9" s="126">
        <v>-8</v>
      </c>
      <c r="K9" s="126">
        <v>-2</v>
      </c>
      <c r="L9" s="126">
        <v>-13</v>
      </c>
      <c r="M9" s="184">
        <f>SUM(F9:L9)</f>
        <v>-30</v>
      </c>
    </row>
    <row r="10" spans="2:14">
      <c r="B10" s="95"/>
      <c r="C10" s="96" t="s">
        <v>143</v>
      </c>
      <c r="D10" s="119" t="s">
        <v>116</v>
      </c>
      <c r="E10" s="132">
        <v>0</v>
      </c>
      <c r="F10" s="132">
        <v>0</v>
      </c>
      <c r="G10" s="132">
        <v>0</v>
      </c>
      <c r="H10" s="132">
        <v>0</v>
      </c>
      <c r="I10" s="126">
        <v>-2</v>
      </c>
      <c r="J10" s="132">
        <v>0</v>
      </c>
      <c r="K10" s="132">
        <v>0</v>
      </c>
      <c r="L10" s="132">
        <v>0</v>
      </c>
      <c r="M10" s="184">
        <f>SUM(F10:L10)</f>
        <v>-2</v>
      </c>
    </row>
    <row r="11" spans="2:14" ht="12.75" thickBot="1">
      <c r="B11" s="697" t="s">
        <v>118</v>
      </c>
      <c r="C11" s="698"/>
      <c r="D11" s="211"/>
      <c r="E11" s="138">
        <f t="shared" ref="E11:M11" si="0">SUM(E7:E10)</f>
        <v>772</v>
      </c>
      <c r="F11" s="138">
        <f t="shared" si="0"/>
        <v>130</v>
      </c>
      <c r="G11" s="138">
        <f t="shared" si="0"/>
        <v>58</v>
      </c>
      <c r="H11" s="138">
        <f t="shared" si="0"/>
        <v>25</v>
      </c>
      <c r="I11" s="138">
        <f t="shared" si="0"/>
        <v>0</v>
      </c>
      <c r="J11" s="138">
        <f t="shared" si="0"/>
        <v>135</v>
      </c>
      <c r="K11" s="138">
        <f t="shared" si="0"/>
        <v>102</v>
      </c>
      <c r="L11" s="138">
        <f t="shared" si="0"/>
        <v>82</v>
      </c>
      <c r="M11" s="189">
        <f t="shared" si="0"/>
        <v>532</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36">
      <c r="B14" s="196" t="str">
        <f>B6</f>
        <v>Three Months Ended March 31, 2014</v>
      </c>
      <c r="C14" s="197"/>
      <c r="D14" s="113"/>
      <c r="E14" s="114" t="s">
        <v>125</v>
      </c>
      <c r="F14" s="441" t="s">
        <v>126</v>
      </c>
      <c r="G14" s="441" t="s">
        <v>127</v>
      </c>
      <c r="H14" s="442" t="s">
        <v>128</v>
      </c>
      <c r="I14" s="116"/>
      <c r="J14" s="117"/>
      <c r="K14" s="118"/>
      <c r="L14" s="110"/>
      <c r="M14" s="110"/>
    </row>
    <row r="15" spans="2:14">
      <c r="B15" s="695" t="s">
        <v>112</v>
      </c>
      <c r="C15" s="696"/>
      <c r="D15" s="119"/>
      <c r="E15" s="120">
        <f>E7-M7</f>
        <v>427</v>
      </c>
      <c r="F15" s="630">
        <v>293</v>
      </c>
      <c r="G15" s="443">
        <v>0.4</v>
      </c>
      <c r="H15" s="444">
        <v>0.4</v>
      </c>
      <c r="I15" s="123"/>
      <c r="J15" s="124"/>
      <c r="K15" s="118"/>
      <c r="L15" s="110"/>
      <c r="M15" s="110"/>
      <c r="N15" s="110"/>
    </row>
    <row r="16" spans="2:14" ht="12" customHeight="1">
      <c r="B16" s="95"/>
      <c r="C16" s="96" t="s">
        <v>52</v>
      </c>
      <c r="D16" s="119" t="s">
        <v>114</v>
      </c>
      <c r="E16" s="125">
        <f>E8-M8</f>
        <v>-219</v>
      </c>
      <c r="F16" s="631">
        <v>-171</v>
      </c>
      <c r="G16" s="445">
        <v>-0.24</v>
      </c>
      <c r="H16" s="446">
        <v>-0.23</v>
      </c>
      <c r="I16" s="123"/>
      <c r="J16" s="123"/>
      <c r="K16" s="123"/>
      <c r="L16" s="123"/>
      <c r="M16" s="123"/>
      <c r="N16" s="130"/>
    </row>
    <row r="17" spans="2:14">
      <c r="B17" s="95"/>
      <c r="C17" s="96" t="s">
        <v>53</v>
      </c>
      <c r="D17" s="119" t="s">
        <v>115</v>
      </c>
      <c r="E17" s="125">
        <f>E9-M9</f>
        <v>30</v>
      </c>
      <c r="F17" s="631">
        <v>18</v>
      </c>
      <c r="G17" s="445">
        <v>0.03</v>
      </c>
      <c r="H17" s="446">
        <v>0.02</v>
      </c>
      <c r="I17" s="129"/>
      <c r="J17" s="129"/>
      <c r="K17" s="130"/>
      <c r="L17" s="130"/>
      <c r="M17" s="130"/>
      <c r="N17" s="130"/>
    </row>
    <row r="18" spans="2:14">
      <c r="B18" s="95"/>
      <c r="C18" s="96" t="s">
        <v>143</v>
      </c>
      <c r="D18" s="119" t="s">
        <v>116</v>
      </c>
      <c r="E18" s="125">
        <f>E10-M10</f>
        <v>2</v>
      </c>
      <c r="F18" s="631">
        <v>1</v>
      </c>
      <c r="G18" s="533">
        <v>0</v>
      </c>
      <c r="H18" s="446">
        <v>0</v>
      </c>
      <c r="I18" s="134"/>
      <c r="J18" s="134"/>
      <c r="K18" s="135"/>
      <c r="L18" s="130"/>
      <c r="M18" s="130"/>
      <c r="N18" s="130"/>
    </row>
    <row r="19" spans="2:14" ht="12.75" thickBot="1">
      <c r="B19" s="697" t="s">
        <v>118</v>
      </c>
      <c r="C19" s="698"/>
      <c r="D19" s="137"/>
      <c r="E19" s="138">
        <f>SUM(E15:E18)</f>
        <v>240</v>
      </c>
      <c r="F19" s="632">
        <f>SUM(F15:F18)</f>
        <v>141</v>
      </c>
      <c r="G19" s="450">
        <v>0.19</v>
      </c>
      <c r="H19" s="451">
        <v>0.19</v>
      </c>
      <c r="I19" s="141"/>
      <c r="J19" s="111"/>
      <c r="K19" s="111"/>
      <c r="L19" s="111"/>
      <c r="M19" s="111"/>
      <c r="N19" s="111"/>
    </row>
    <row r="20" spans="2:14" ht="5.25" customHeight="1" thickTop="1" thickBot="1">
      <c r="B20" s="142"/>
      <c r="C20" s="143"/>
      <c r="D20" s="144"/>
      <c r="E20" s="145"/>
      <c r="F20" s="633"/>
      <c r="G20" s="633"/>
      <c r="H20" s="634"/>
      <c r="I20" s="110"/>
      <c r="J20" s="111"/>
      <c r="K20" s="111"/>
      <c r="L20" s="111"/>
      <c r="M20" s="111"/>
      <c r="N20" s="111"/>
    </row>
    <row r="21" spans="2:14" ht="12.75" thickBot="1">
      <c r="B21" s="110"/>
      <c r="C21" s="110"/>
      <c r="D21" s="176"/>
      <c r="E21" s="110"/>
      <c r="F21" s="635"/>
      <c r="G21" s="635"/>
      <c r="H21" s="635"/>
      <c r="I21" s="110"/>
      <c r="J21" s="111"/>
      <c r="K21" s="111"/>
      <c r="L21" s="111"/>
      <c r="M21" s="111"/>
      <c r="N21" s="111"/>
    </row>
    <row r="22" spans="2:14" ht="60">
      <c r="B22" s="177" t="s">
        <v>309</v>
      </c>
      <c r="C22" s="178"/>
      <c r="D22" s="179"/>
      <c r="E22" s="88" t="s">
        <v>104</v>
      </c>
      <c r="F22" s="636" t="s">
        <v>105</v>
      </c>
      <c r="G22" s="636" t="s">
        <v>314</v>
      </c>
      <c r="H22" s="636" t="s">
        <v>106</v>
      </c>
      <c r="I22" s="88" t="s">
        <v>107</v>
      </c>
      <c r="J22" s="88" t="s">
        <v>108</v>
      </c>
      <c r="K22" s="88" t="s">
        <v>109</v>
      </c>
      <c r="L22" s="88" t="s">
        <v>110</v>
      </c>
      <c r="M22" s="89" t="s">
        <v>111</v>
      </c>
    </row>
    <row r="23" spans="2:14">
      <c r="B23" s="695" t="s">
        <v>112</v>
      </c>
      <c r="C23" s="696"/>
      <c r="D23" s="182"/>
      <c r="E23" s="120">
        <v>970</v>
      </c>
      <c r="F23" s="637">
        <v>187</v>
      </c>
      <c r="G23" s="637">
        <v>56</v>
      </c>
      <c r="H23" s="637">
        <v>46</v>
      </c>
      <c r="I23" s="120">
        <v>11</v>
      </c>
      <c r="J23" s="120">
        <v>112</v>
      </c>
      <c r="K23" s="120">
        <v>141</v>
      </c>
      <c r="L23" s="120">
        <v>107</v>
      </c>
      <c r="M23" s="183">
        <f>SUM(F23:L23)</f>
        <v>660</v>
      </c>
    </row>
    <row r="24" spans="2:14" ht="12" customHeight="1">
      <c r="B24" s="95"/>
      <c r="C24" s="96" t="s">
        <v>52</v>
      </c>
      <c r="D24" s="119" t="s">
        <v>114</v>
      </c>
      <c r="E24" s="126">
        <v>-312</v>
      </c>
      <c r="F24" s="638">
        <v>-69</v>
      </c>
      <c r="G24" s="639">
        <v>0</v>
      </c>
      <c r="H24" s="638">
        <v>-24</v>
      </c>
      <c r="I24" s="126">
        <v>1</v>
      </c>
      <c r="J24" s="132">
        <v>0</v>
      </c>
      <c r="K24" s="132">
        <v>0</v>
      </c>
      <c r="L24" s="132">
        <v>0</v>
      </c>
      <c r="M24" s="184">
        <f>SUM(F24:L24)</f>
        <v>-92</v>
      </c>
    </row>
    <row r="25" spans="2:14">
      <c r="B25" s="95"/>
      <c r="C25" s="96" t="s">
        <v>53</v>
      </c>
      <c r="D25" s="119" t="s">
        <v>115</v>
      </c>
      <c r="E25" s="185">
        <v>0</v>
      </c>
      <c r="F25" s="639">
        <v>0</v>
      </c>
      <c r="G25" s="639">
        <v>0</v>
      </c>
      <c r="H25" s="639">
        <v>-4</v>
      </c>
      <c r="I25" s="132">
        <v>0</v>
      </c>
      <c r="J25" s="126">
        <v>-3</v>
      </c>
      <c r="K25" s="126">
        <v>-2</v>
      </c>
      <c r="L25" s="126">
        <v>-13</v>
      </c>
      <c r="M25" s="184">
        <f>SUM(F25:L25)</f>
        <v>-22</v>
      </c>
    </row>
    <row r="26" spans="2:14">
      <c r="B26" s="95"/>
      <c r="C26" s="96" t="s">
        <v>143</v>
      </c>
      <c r="D26" s="119" t="s">
        <v>116</v>
      </c>
      <c r="E26" s="132">
        <v>0</v>
      </c>
      <c r="F26" s="639">
        <v>0</v>
      </c>
      <c r="G26" s="639">
        <v>0</v>
      </c>
      <c r="H26" s="639">
        <v>0</v>
      </c>
      <c r="I26" s="126">
        <v>-1</v>
      </c>
      <c r="J26" s="132">
        <v>0</v>
      </c>
      <c r="K26" s="132">
        <v>0</v>
      </c>
      <c r="L26" s="132">
        <v>0</v>
      </c>
      <c r="M26" s="184">
        <f>SUM(F26:L26)</f>
        <v>-1</v>
      </c>
    </row>
    <row r="27" spans="2:14" ht="12.75" thickBot="1">
      <c r="B27" s="697" t="s">
        <v>118</v>
      </c>
      <c r="C27" s="698"/>
      <c r="D27" s="211"/>
      <c r="E27" s="138">
        <f t="shared" ref="E27:M27" si="1">SUM(E23:E26)</f>
        <v>658</v>
      </c>
      <c r="F27" s="632">
        <f t="shared" si="1"/>
        <v>118</v>
      </c>
      <c r="G27" s="632">
        <f t="shared" si="1"/>
        <v>56</v>
      </c>
      <c r="H27" s="632">
        <f t="shared" si="1"/>
        <v>18</v>
      </c>
      <c r="I27" s="138">
        <f t="shared" si="1"/>
        <v>11</v>
      </c>
      <c r="J27" s="138">
        <f t="shared" si="1"/>
        <v>109</v>
      </c>
      <c r="K27" s="138">
        <f t="shared" si="1"/>
        <v>139</v>
      </c>
      <c r="L27" s="138">
        <f t="shared" si="1"/>
        <v>94</v>
      </c>
      <c r="M27" s="189">
        <f t="shared" si="1"/>
        <v>545</v>
      </c>
    </row>
    <row r="28" spans="2:14" ht="5.25" customHeight="1" thickTop="1" thickBot="1">
      <c r="B28" s="105"/>
      <c r="C28" s="106"/>
      <c r="D28" s="107"/>
      <c r="E28" s="106"/>
      <c r="F28" s="640"/>
      <c r="G28" s="640"/>
      <c r="H28" s="640"/>
      <c r="I28" s="108"/>
      <c r="J28" s="108"/>
      <c r="K28" s="108"/>
      <c r="L28" s="108"/>
      <c r="M28" s="109"/>
    </row>
    <row r="29" spans="2:14" ht="12.75" customHeight="1" thickBot="1">
      <c r="B29" s="110"/>
      <c r="C29" s="111"/>
      <c r="D29" s="112"/>
      <c r="E29" s="111"/>
      <c r="F29" s="641"/>
      <c r="G29" s="641"/>
      <c r="H29" s="641"/>
      <c r="I29" s="111"/>
      <c r="J29" s="111"/>
      <c r="K29" s="111"/>
      <c r="L29" s="111"/>
      <c r="M29" s="111"/>
    </row>
    <row r="30" spans="2:14" ht="36">
      <c r="B30" s="196" t="str">
        <f>B22</f>
        <v>Three Months Ended June 30, 2014</v>
      </c>
      <c r="C30" s="197"/>
      <c r="D30" s="113"/>
      <c r="E30" s="114" t="s">
        <v>125</v>
      </c>
      <c r="F30" s="441" t="s">
        <v>126</v>
      </c>
      <c r="G30" s="441" t="s">
        <v>127</v>
      </c>
      <c r="H30" s="442" t="s">
        <v>128</v>
      </c>
      <c r="I30" s="116"/>
      <c r="J30" s="117"/>
      <c r="K30" s="118"/>
      <c r="L30" s="110"/>
      <c r="M30" s="110"/>
    </row>
    <row r="31" spans="2:14">
      <c r="B31" s="695" t="s">
        <v>112</v>
      </c>
      <c r="C31" s="696"/>
      <c r="D31" s="119"/>
      <c r="E31" s="120">
        <f>E23-M23</f>
        <v>310</v>
      </c>
      <c r="F31" s="630">
        <v>204</v>
      </c>
      <c r="G31" s="443">
        <v>0.28000000000000003</v>
      </c>
      <c r="H31" s="444">
        <v>0.28000000000000003</v>
      </c>
      <c r="I31" s="123"/>
      <c r="J31" s="124"/>
      <c r="K31" s="118"/>
      <c r="L31" s="110"/>
      <c r="M31" s="110"/>
      <c r="N31" s="110"/>
    </row>
    <row r="32" spans="2:14" ht="12" customHeight="1">
      <c r="B32" s="95"/>
      <c r="C32" s="96" t="s">
        <v>52</v>
      </c>
      <c r="D32" s="119" t="s">
        <v>114</v>
      </c>
      <c r="E32" s="125">
        <f>E24-M24</f>
        <v>-220</v>
      </c>
      <c r="F32" s="631">
        <v>-174</v>
      </c>
      <c r="G32" s="445">
        <v>-0.24</v>
      </c>
      <c r="H32" s="446">
        <v>-0.23</v>
      </c>
      <c r="I32" s="123"/>
      <c r="J32" s="123"/>
      <c r="K32" s="123"/>
      <c r="L32" s="123"/>
      <c r="M32" s="123"/>
      <c r="N32" s="130"/>
    </row>
    <row r="33" spans="2:16">
      <c r="B33" s="95"/>
      <c r="C33" s="96" t="s">
        <v>53</v>
      </c>
      <c r="D33" s="119" t="s">
        <v>115</v>
      </c>
      <c r="E33" s="125">
        <f>E25-M25</f>
        <v>22</v>
      </c>
      <c r="F33" s="631">
        <v>14</v>
      </c>
      <c r="G33" s="445">
        <v>0.02</v>
      </c>
      <c r="H33" s="446">
        <v>0.02</v>
      </c>
      <c r="I33" s="129"/>
      <c r="J33" s="129"/>
      <c r="K33" s="130"/>
      <c r="L33" s="130"/>
      <c r="M33" s="130"/>
      <c r="N33" s="130"/>
    </row>
    <row r="34" spans="2:16">
      <c r="B34" s="95"/>
      <c r="C34" s="96" t="s">
        <v>143</v>
      </c>
      <c r="D34" s="119" t="s">
        <v>116</v>
      </c>
      <c r="E34" s="125">
        <f>E26-M26</f>
        <v>1</v>
      </c>
      <c r="F34" s="631">
        <v>1</v>
      </c>
      <c r="G34" s="533">
        <v>0</v>
      </c>
      <c r="H34" s="446">
        <v>0</v>
      </c>
      <c r="I34" s="134"/>
      <c r="J34" s="134"/>
      <c r="K34" s="135"/>
      <c r="L34" s="130"/>
      <c r="M34" s="130"/>
      <c r="N34" s="130"/>
    </row>
    <row r="35" spans="2:16" ht="12.75" thickBot="1">
      <c r="B35" s="697" t="s">
        <v>118</v>
      </c>
      <c r="C35" s="698"/>
      <c r="D35" s="137"/>
      <c r="E35" s="138">
        <f>SUM(E31:E34)</f>
        <v>113</v>
      </c>
      <c r="F35" s="632">
        <f>SUM(F31:F34)</f>
        <v>45</v>
      </c>
      <c r="G35" s="450">
        <v>0.06</v>
      </c>
      <c r="H35" s="451">
        <v>0.06</v>
      </c>
      <c r="I35" s="141"/>
      <c r="J35" s="111"/>
      <c r="K35" s="111"/>
      <c r="L35" s="111"/>
      <c r="M35" s="111"/>
      <c r="N35" s="111"/>
    </row>
    <row r="36" spans="2:16" ht="5.25" customHeight="1" thickTop="1" thickBot="1">
      <c r="B36" s="142"/>
      <c r="C36" s="143"/>
      <c r="D36" s="144"/>
      <c r="E36" s="145"/>
      <c r="F36" s="633"/>
      <c r="G36" s="633"/>
      <c r="H36" s="634"/>
      <c r="I36" s="110"/>
      <c r="J36" s="111"/>
      <c r="K36" s="111"/>
      <c r="L36" s="111"/>
      <c r="M36" s="111"/>
      <c r="N36" s="111"/>
    </row>
    <row r="37" spans="2:16" ht="5.25" customHeight="1" thickBot="1">
      <c r="B37" s="110"/>
      <c r="C37" s="110"/>
      <c r="D37" s="176"/>
      <c r="E37" s="110"/>
      <c r="F37" s="635"/>
      <c r="G37" s="635"/>
      <c r="H37" s="635"/>
      <c r="I37" s="110"/>
      <c r="J37" s="111"/>
      <c r="K37" s="111"/>
      <c r="L37" s="111"/>
      <c r="M37" s="111"/>
      <c r="N37" s="111"/>
    </row>
    <row r="38" spans="2:16" ht="60">
      <c r="B38" s="177" t="s">
        <v>310</v>
      </c>
      <c r="C38" s="178"/>
      <c r="D38" s="179"/>
      <c r="E38" s="88" t="s">
        <v>104</v>
      </c>
      <c r="F38" s="636" t="s">
        <v>105</v>
      </c>
      <c r="G38" s="636" t="s">
        <v>314</v>
      </c>
      <c r="H38" s="636" t="s">
        <v>106</v>
      </c>
      <c r="I38" s="88" t="s">
        <v>107</v>
      </c>
      <c r="J38" s="88" t="s">
        <v>108</v>
      </c>
      <c r="K38" s="88" t="s">
        <v>109</v>
      </c>
      <c r="L38" s="88" t="s">
        <v>110</v>
      </c>
      <c r="M38" s="89" t="s">
        <v>111</v>
      </c>
    </row>
    <row r="39" spans="2:16">
      <c r="B39" s="695" t="s">
        <v>112</v>
      </c>
      <c r="C39" s="696"/>
      <c r="D39" s="182"/>
      <c r="E39" s="120">
        <v>753</v>
      </c>
      <c r="F39" s="637">
        <v>156</v>
      </c>
      <c r="G39" s="637">
        <v>56</v>
      </c>
      <c r="H39" s="637">
        <v>34</v>
      </c>
      <c r="I39" s="120">
        <v>7</v>
      </c>
      <c r="J39" s="120">
        <v>131</v>
      </c>
      <c r="K39" s="120">
        <v>221</v>
      </c>
      <c r="L39" s="120">
        <v>140</v>
      </c>
      <c r="M39" s="183">
        <f>SUM(F39:L39)</f>
        <v>745</v>
      </c>
    </row>
    <row r="40" spans="2:16" ht="12" customHeight="1">
      <c r="B40" s="95"/>
      <c r="C40" s="96" t="s">
        <v>52</v>
      </c>
      <c r="D40" s="119" t="s">
        <v>114</v>
      </c>
      <c r="E40" s="126">
        <v>417</v>
      </c>
      <c r="F40" s="638">
        <v>80</v>
      </c>
      <c r="G40" s="639">
        <v>0</v>
      </c>
      <c r="H40" s="638">
        <v>157</v>
      </c>
      <c r="I40" s="132">
        <v>0</v>
      </c>
      <c r="J40" s="132">
        <v>0</v>
      </c>
      <c r="K40" s="132">
        <v>0</v>
      </c>
      <c r="L40" s="132">
        <v>0</v>
      </c>
      <c r="M40" s="184">
        <f>SUM(F40:L40)</f>
        <v>237</v>
      </c>
      <c r="P40" s="670"/>
    </row>
    <row r="41" spans="2:16">
      <c r="B41" s="95"/>
      <c r="C41" s="96" t="s">
        <v>53</v>
      </c>
      <c r="D41" s="119" t="s">
        <v>115</v>
      </c>
      <c r="E41" s="185">
        <v>0</v>
      </c>
      <c r="F41" s="639">
        <v>0</v>
      </c>
      <c r="G41" s="639">
        <v>0</v>
      </c>
      <c r="H41" s="639">
        <v>-1</v>
      </c>
      <c r="I41" s="132">
        <v>0</v>
      </c>
      <c r="J41" s="126">
        <v>-5</v>
      </c>
      <c r="K41" s="126">
        <v>-3</v>
      </c>
      <c r="L41" s="126">
        <v>-13</v>
      </c>
      <c r="M41" s="184">
        <f>SUM(F41:L41)</f>
        <v>-22</v>
      </c>
    </row>
    <row r="42" spans="2:16">
      <c r="B42" s="95"/>
      <c r="C42" s="96" t="s">
        <v>143</v>
      </c>
      <c r="D42" s="119" t="s">
        <v>116</v>
      </c>
      <c r="E42" s="185">
        <v>0</v>
      </c>
      <c r="F42" s="639">
        <v>0</v>
      </c>
      <c r="G42" s="639">
        <v>0</v>
      </c>
      <c r="H42" s="639">
        <v>0</v>
      </c>
      <c r="I42" s="132">
        <v>-2</v>
      </c>
      <c r="J42" s="639">
        <v>0</v>
      </c>
      <c r="K42" s="639">
        <v>0</v>
      </c>
      <c r="L42" s="639">
        <v>0</v>
      </c>
      <c r="M42" s="184">
        <f>SUM(F42:L42)</f>
        <v>-2</v>
      </c>
    </row>
    <row r="43" spans="2:16" ht="24">
      <c r="B43" s="95"/>
      <c r="C43" s="96" t="s">
        <v>292</v>
      </c>
      <c r="D43" s="119" t="s">
        <v>124</v>
      </c>
      <c r="E43" s="185">
        <v>0</v>
      </c>
      <c r="F43" s="639">
        <v>0</v>
      </c>
      <c r="G43" s="639">
        <v>0</v>
      </c>
      <c r="H43" s="639">
        <v>0</v>
      </c>
      <c r="I43" s="132">
        <v>0</v>
      </c>
      <c r="J43" s="132">
        <v>0</v>
      </c>
      <c r="K43" s="132">
        <v>0</v>
      </c>
      <c r="L43" s="132">
        <v>-48</v>
      </c>
      <c r="M43" s="184">
        <f>SUM(F43:L43)</f>
        <v>-48</v>
      </c>
    </row>
    <row r="44" spans="2:16" ht="12.75" thickBot="1">
      <c r="B44" s="697" t="s">
        <v>118</v>
      </c>
      <c r="C44" s="698"/>
      <c r="D44" s="211"/>
      <c r="E44" s="138">
        <f t="shared" ref="E44:M44" si="2">SUM(E39:E43)</f>
        <v>1170</v>
      </c>
      <c r="F44" s="632">
        <f t="shared" si="2"/>
        <v>236</v>
      </c>
      <c r="G44" s="632">
        <f t="shared" si="2"/>
        <v>56</v>
      </c>
      <c r="H44" s="632">
        <f t="shared" si="2"/>
        <v>190</v>
      </c>
      <c r="I44" s="138">
        <f t="shared" si="2"/>
        <v>5</v>
      </c>
      <c r="J44" s="138">
        <f t="shared" si="2"/>
        <v>126</v>
      </c>
      <c r="K44" s="138">
        <f t="shared" si="2"/>
        <v>218</v>
      </c>
      <c r="L44" s="138">
        <f t="shared" si="2"/>
        <v>79</v>
      </c>
      <c r="M44" s="189">
        <f t="shared" si="2"/>
        <v>910</v>
      </c>
    </row>
    <row r="45" spans="2:16" ht="5.25" customHeight="1" thickTop="1" thickBot="1">
      <c r="B45" s="105"/>
      <c r="C45" s="106"/>
      <c r="D45" s="107"/>
      <c r="E45" s="106"/>
      <c r="F45" s="640"/>
      <c r="G45" s="640"/>
      <c r="H45" s="640"/>
      <c r="I45" s="108"/>
      <c r="J45" s="108"/>
      <c r="K45" s="108"/>
      <c r="L45" s="108"/>
      <c r="M45" s="109"/>
    </row>
    <row r="46" spans="2:16" ht="12.75" customHeight="1" thickBot="1">
      <c r="B46" s="110"/>
      <c r="C46" s="111"/>
      <c r="D46" s="112"/>
      <c r="E46" s="111"/>
      <c r="F46" s="641"/>
      <c r="G46" s="641"/>
      <c r="H46" s="641"/>
      <c r="I46" s="111"/>
      <c r="J46" s="111"/>
      <c r="K46" s="111"/>
      <c r="L46" s="111"/>
      <c r="M46" s="111"/>
    </row>
    <row r="47" spans="2:16" ht="48">
      <c r="B47" s="196" t="str">
        <f>B38</f>
        <v>Three Months Ended September 30, 2014</v>
      </c>
      <c r="C47" s="197"/>
      <c r="D47" s="113"/>
      <c r="E47" s="114" t="s">
        <v>125</v>
      </c>
      <c r="F47" s="441" t="s">
        <v>120</v>
      </c>
      <c r="G47" s="441" t="s">
        <v>121</v>
      </c>
      <c r="H47" s="442" t="s">
        <v>122</v>
      </c>
      <c r="I47" s="116"/>
      <c r="J47" s="117"/>
      <c r="K47" s="118"/>
      <c r="L47" s="110"/>
      <c r="M47" s="110"/>
    </row>
    <row r="48" spans="2:16">
      <c r="B48" s="695" t="s">
        <v>112</v>
      </c>
      <c r="C48" s="696"/>
      <c r="D48" s="119"/>
      <c r="E48" s="120">
        <f>E39-M39</f>
        <v>8</v>
      </c>
      <c r="F48" s="630">
        <v>-23</v>
      </c>
      <c r="G48" s="443">
        <v>-0.03</v>
      </c>
      <c r="H48" s="444">
        <v>-0.03</v>
      </c>
      <c r="I48" s="123"/>
      <c r="J48" s="124"/>
      <c r="K48" s="118"/>
      <c r="L48" s="110"/>
      <c r="M48" s="110"/>
      <c r="N48" s="110"/>
    </row>
    <row r="49" spans="2:16" ht="12" customHeight="1">
      <c r="B49" s="95"/>
      <c r="C49" s="96" t="s">
        <v>52</v>
      </c>
      <c r="D49" s="119" t="s">
        <v>114</v>
      </c>
      <c r="E49" s="125">
        <f>E40-M40</f>
        <v>180</v>
      </c>
      <c r="F49" s="631">
        <v>133</v>
      </c>
      <c r="G49" s="445">
        <v>0.18</v>
      </c>
      <c r="H49" s="446">
        <v>0.18</v>
      </c>
      <c r="I49" s="123"/>
      <c r="J49" s="123"/>
      <c r="K49" s="123"/>
      <c r="L49" s="123"/>
      <c r="M49" s="123"/>
      <c r="N49" s="130"/>
    </row>
    <row r="50" spans="2:16">
      <c r="B50" s="95"/>
      <c r="C50" s="96" t="s">
        <v>53</v>
      </c>
      <c r="D50" s="119" t="s">
        <v>115</v>
      </c>
      <c r="E50" s="125">
        <f>E41-M41</f>
        <v>22</v>
      </c>
      <c r="F50" s="631">
        <v>14</v>
      </c>
      <c r="G50" s="445">
        <v>0.02</v>
      </c>
      <c r="H50" s="446">
        <v>0.02</v>
      </c>
      <c r="I50" s="129"/>
      <c r="J50" s="129"/>
      <c r="K50" s="130"/>
      <c r="L50" s="130"/>
      <c r="M50" s="130"/>
      <c r="N50" s="130"/>
    </row>
    <row r="51" spans="2:16">
      <c r="B51" s="95"/>
      <c r="C51" s="96" t="s">
        <v>318</v>
      </c>
      <c r="D51" s="119" t="s">
        <v>116</v>
      </c>
      <c r="E51" s="125">
        <f>E42-M42</f>
        <v>2</v>
      </c>
      <c r="F51" s="631">
        <v>1</v>
      </c>
      <c r="G51" s="445">
        <v>0</v>
      </c>
      <c r="H51" s="446">
        <v>0</v>
      </c>
      <c r="I51" s="129"/>
      <c r="J51" s="129"/>
      <c r="K51" s="130"/>
      <c r="L51" s="130"/>
      <c r="M51" s="130"/>
      <c r="N51" s="130"/>
    </row>
    <row r="52" spans="2:16" ht="24">
      <c r="B52" s="95"/>
      <c r="C52" s="96" t="s">
        <v>292</v>
      </c>
      <c r="D52" s="119" t="s">
        <v>124</v>
      </c>
      <c r="E52" s="125">
        <f>E43-M43</f>
        <v>48</v>
      </c>
      <c r="F52" s="631">
        <v>48</v>
      </c>
      <c r="G52" s="533">
        <v>7.0000000000000007E-2</v>
      </c>
      <c r="H52" s="446">
        <v>7.0000000000000007E-2</v>
      </c>
      <c r="I52" s="129"/>
      <c r="J52" s="129"/>
      <c r="K52" s="130"/>
      <c r="L52" s="130"/>
      <c r="M52" s="130"/>
      <c r="N52" s="130"/>
    </row>
    <row r="53" spans="2:16" ht="12.75" thickBot="1">
      <c r="B53" s="697" t="s">
        <v>118</v>
      </c>
      <c r="C53" s="698"/>
      <c r="D53" s="137"/>
      <c r="E53" s="138">
        <f>SUM(E48:E52)</f>
        <v>260</v>
      </c>
      <c r="F53" s="632">
        <f>SUM(F48:F52)</f>
        <v>173</v>
      </c>
      <c r="G53" s="450">
        <v>0.24</v>
      </c>
      <c r="H53" s="451">
        <v>0.23</v>
      </c>
      <c r="I53" s="141"/>
      <c r="J53" s="111"/>
      <c r="K53" s="111"/>
      <c r="L53" s="111"/>
      <c r="M53" s="111"/>
      <c r="N53" s="111"/>
    </row>
    <row r="54" spans="2:16" ht="5.25" customHeight="1" thickTop="1" thickBot="1">
      <c r="B54" s="142"/>
      <c r="C54" s="143"/>
      <c r="D54" s="144"/>
      <c r="E54" s="145"/>
      <c r="F54" s="633"/>
      <c r="G54" s="633"/>
      <c r="H54" s="634"/>
      <c r="I54" s="110"/>
      <c r="J54" s="111"/>
      <c r="K54" s="111"/>
      <c r="L54" s="111"/>
      <c r="M54" s="111"/>
      <c r="N54" s="111"/>
    </row>
    <row r="55" spans="2:16" ht="5.25" customHeight="1" thickBot="1">
      <c r="B55" s="110"/>
      <c r="C55" s="110"/>
      <c r="D55" s="176"/>
      <c r="E55" s="110"/>
      <c r="F55" s="635"/>
      <c r="G55" s="635"/>
      <c r="H55" s="635"/>
      <c r="I55" s="110"/>
      <c r="J55" s="111"/>
      <c r="K55" s="111"/>
      <c r="L55" s="111"/>
      <c r="M55" s="111"/>
      <c r="N55" s="111"/>
    </row>
    <row r="56" spans="2:16" ht="60">
      <c r="B56" s="177" t="s">
        <v>311</v>
      </c>
      <c r="C56" s="178"/>
      <c r="D56" s="179"/>
      <c r="E56" s="88" t="s">
        <v>104</v>
      </c>
      <c r="F56" s="636" t="s">
        <v>105</v>
      </c>
      <c r="G56" s="636" t="s">
        <v>314</v>
      </c>
      <c r="H56" s="636" t="s">
        <v>106</v>
      </c>
      <c r="I56" s="88" t="s">
        <v>107</v>
      </c>
      <c r="J56" s="88" t="s">
        <v>108</v>
      </c>
      <c r="K56" s="88" t="s">
        <v>109</v>
      </c>
      <c r="L56" s="88" t="s">
        <v>110</v>
      </c>
      <c r="M56" s="89" t="s">
        <v>111</v>
      </c>
    </row>
    <row r="57" spans="2:16">
      <c r="B57" s="695" t="s">
        <v>112</v>
      </c>
      <c r="C57" s="696"/>
      <c r="D57" s="182"/>
      <c r="E57" s="120">
        <v>1575</v>
      </c>
      <c r="F57" s="637">
        <v>432</v>
      </c>
      <c r="G57" s="637">
        <v>61</v>
      </c>
      <c r="H57" s="637">
        <v>124</v>
      </c>
      <c r="I57" s="120">
        <v>14</v>
      </c>
      <c r="J57" s="120">
        <v>184</v>
      </c>
      <c r="K57" s="120">
        <v>247</v>
      </c>
      <c r="L57" s="120">
        <v>75</v>
      </c>
      <c r="M57" s="183">
        <f>SUM(F57:L57)</f>
        <v>1137</v>
      </c>
    </row>
    <row r="58" spans="2:16" ht="12" customHeight="1">
      <c r="B58" s="95"/>
      <c r="C58" s="96" t="s">
        <v>52</v>
      </c>
      <c r="D58" s="119" t="s">
        <v>114</v>
      </c>
      <c r="E58" s="126">
        <v>638</v>
      </c>
      <c r="F58" s="638">
        <v>112</v>
      </c>
      <c r="G58" s="639">
        <v>0</v>
      </c>
      <c r="H58" s="638">
        <v>52</v>
      </c>
      <c r="I58" s="132">
        <v>-1</v>
      </c>
      <c r="J58" s="132">
        <v>0</v>
      </c>
      <c r="K58" s="132">
        <v>0</v>
      </c>
      <c r="L58" s="132">
        <v>0</v>
      </c>
      <c r="M58" s="184">
        <f>SUM(F58:L58)</f>
        <v>163</v>
      </c>
      <c r="P58" s="670"/>
    </row>
    <row r="59" spans="2:16">
      <c r="B59" s="95"/>
      <c r="C59" s="96" t="s">
        <v>53</v>
      </c>
      <c r="D59" s="119" t="s">
        <v>115</v>
      </c>
      <c r="E59" s="185">
        <v>0</v>
      </c>
      <c r="F59" s="639">
        <v>0</v>
      </c>
      <c r="G59" s="639">
        <v>0</v>
      </c>
      <c r="H59" s="639">
        <v>-5</v>
      </c>
      <c r="I59" s="132">
        <v>0</v>
      </c>
      <c r="J59" s="126">
        <v>-5</v>
      </c>
      <c r="K59" s="126">
        <v>-2</v>
      </c>
      <c r="L59" s="126">
        <v>-17</v>
      </c>
      <c r="M59" s="184">
        <f>SUM(F59:L59)</f>
        <v>-29</v>
      </c>
    </row>
    <row r="60" spans="2:16">
      <c r="B60" s="95"/>
      <c r="C60" s="96" t="s">
        <v>143</v>
      </c>
      <c r="D60" s="119" t="s">
        <v>116</v>
      </c>
      <c r="E60" s="185">
        <v>0</v>
      </c>
      <c r="F60" s="639">
        <v>0</v>
      </c>
      <c r="G60" s="639">
        <v>0</v>
      </c>
      <c r="H60" s="639">
        <v>0</v>
      </c>
      <c r="I60" s="132">
        <v>-8</v>
      </c>
      <c r="J60" s="639">
        <v>0</v>
      </c>
      <c r="K60" s="639">
        <v>0</v>
      </c>
      <c r="L60" s="639">
        <v>0</v>
      </c>
      <c r="M60" s="184">
        <f>SUM(F60:L60)</f>
        <v>-8</v>
      </c>
    </row>
    <row r="61" spans="2:16" ht="24">
      <c r="B61" s="95"/>
      <c r="C61" s="96" t="s">
        <v>292</v>
      </c>
      <c r="D61" s="119" t="s">
        <v>124</v>
      </c>
      <c r="E61" s="185">
        <v>0</v>
      </c>
      <c r="F61" s="639">
        <v>0</v>
      </c>
      <c r="G61" s="639">
        <v>0</v>
      </c>
      <c r="H61" s="639">
        <v>0</v>
      </c>
      <c r="I61" s="132">
        <v>0</v>
      </c>
      <c r="J61" s="132">
        <v>0</v>
      </c>
      <c r="K61" s="132">
        <v>0</v>
      </c>
      <c r="L61" s="132">
        <v>36</v>
      </c>
      <c r="M61" s="184">
        <f>SUM(F61:L61)</f>
        <v>36</v>
      </c>
    </row>
    <row r="62" spans="2:16" ht="12.75" thickBot="1">
      <c r="B62" s="697" t="s">
        <v>118</v>
      </c>
      <c r="C62" s="698"/>
      <c r="D62" s="211"/>
      <c r="E62" s="138">
        <f t="shared" ref="E62:M62" si="3">SUM(E57:E61)</f>
        <v>2213</v>
      </c>
      <c r="F62" s="632">
        <f t="shared" si="3"/>
        <v>544</v>
      </c>
      <c r="G62" s="632">
        <f t="shared" si="3"/>
        <v>61</v>
      </c>
      <c r="H62" s="632">
        <f t="shared" si="3"/>
        <v>171</v>
      </c>
      <c r="I62" s="138">
        <f t="shared" si="3"/>
        <v>5</v>
      </c>
      <c r="J62" s="138">
        <f t="shared" si="3"/>
        <v>179</v>
      </c>
      <c r="K62" s="138">
        <f t="shared" si="3"/>
        <v>245</v>
      </c>
      <c r="L62" s="138">
        <f t="shared" si="3"/>
        <v>94</v>
      </c>
      <c r="M62" s="189">
        <f t="shared" si="3"/>
        <v>1299</v>
      </c>
    </row>
    <row r="63" spans="2:16" ht="5.25" customHeight="1" thickTop="1" thickBot="1">
      <c r="B63" s="105"/>
      <c r="C63" s="106"/>
      <c r="D63" s="107"/>
      <c r="E63" s="106"/>
      <c r="F63" s="640"/>
      <c r="G63" s="640"/>
      <c r="H63" s="640"/>
      <c r="I63" s="108"/>
      <c r="J63" s="108"/>
      <c r="K63" s="108"/>
      <c r="L63" s="108"/>
      <c r="M63" s="109"/>
    </row>
    <row r="64" spans="2:16" ht="12.75" customHeight="1" thickBot="1">
      <c r="B64" s="110"/>
      <c r="C64" s="111"/>
      <c r="D64" s="112"/>
      <c r="E64" s="111"/>
      <c r="F64" s="641"/>
      <c r="G64" s="641"/>
      <c r="H64" s="641"/>
      <c r="I64" s="111"/>
      <c r="J64" s="111"/>
      <c r="K64" s="111"/>
      <c r="L64" s="111"/>
      <c r="M64" s="111"/>
    </row>
    <row r="65" spans="2:14" ht="48">
      <c r="B65" s="196" t="str">
        <f>B56</f>
        <v>Three Months Ended December 31, 2014</v>
      </c>
      <c r="C65" s="197"/>
      <c r="D65" s="113"/>
      <c r="E65" s="114" t="s">
        <v>125</v>
      </c>
      <c r="F65" s="441" t="s">
        <v>120</v>
      </c>
      <c r="G65" s="441" t="s">
        <v>121</v>
      </c>
      <c r="H65" s="442" t="s">
        <v>122</v>
      </c>
      <c r="I65" s="116"/>
      <c r="J65" s="117"/>
      <c r="K65" s="118"/>
      <c r="L65" s="110"/>
      <c r="M65" s="110"/>
    </row>
    <row r="66" spans="2:14">
      <c r="B66" s="695" t="s">
        <v>112</v>
      </c>
      <c r="C66" s="696"/>
      <c r="D66" s="119"/>
      <c r="E66" s="120">
        <f>E57-M57</f>
        <v>438</v>
      </c>
      <c r="F66" s="630">
        <v>361</v>
      </c>
      <c r="G66" s="443">
        <v>0.49</v>
      </c>
      <c r="H66" s="444">
        <v>0.49</v>
      </c>
      <c r="I66" s="123"/>
      <c r="J66" s="124"/>
      <c r="K66" s="118"/>
      <c r="L66" s="110"/>
      <c r="M66" s="110"/>
      <c r="N66" s="110"/>
    </row>
    <row r="67" spans="2:14" ht="12" customHeight="1">
      <c r="B67" s="95"/>
      <c r="C67" s="96" t="s">
        <v>52</v>
      </c>
      <c r="D67" s="119" t="s">
        <v>114</v>
      </c>
      <c r="E67" s="125">
        <f>E58-M58</f>
        <v>475</v>
      </c>
      <c r="F67" s="631">
        <v>349</v>
      </c>
      <c r="G67" s="445">
        <v>0.48</v>
      </c>
      <c r="H67" s="446">
        <v>0.47</v>
      </c>
      <c r="I67" s="123"/>
      <c r="J67" s="123"/>
      <c r="K67" s="123"/>
      <c r="L67" s="123"/>
      <c r="M67" s="123"/>
      <c r="N67" s="130"/>
    </row>
    <row r="68" spans="2:14">
      <c r="B68" s="95"/>
      <c r="C68" s="96" t="s">
        <v>53</v>
      </c>
      <c r="D68" s="119" t="s">
        <v>115</v>
      </c>
      <c r="E68" s="125">
        <f>E59-M59</f>
        <v>29</v>
      </c>
      <c r="F68" s="631">
        <v>19</v>
      </c>
      <c r="G68" s="445">
        <v>0.03</v>
      </c>
      <c r="H68" s="446">
        <v>0.03</v>
      </c>
      <c r="I68" s="129"/>
      <c r="J68" s="129"/>
      <c r="K68" s="130"/>
      <c r="L68" s="130"/>
      <c r="M68" s="130"/>
      <c r="N68" s="130"/>
    </row>
    <row r="69" spans="2:14">
      <c r="B69" s="95"/>
      <c r="C69" s="96" t="s">
        <v>318</v>
      </c>
      <c r="D69" s="119" t="s">
        <v>116</v>
      </c>
      <c r="E69" s="125">
        <f>E60-M60</f>
        <v>8</v>
      </c>
      <c r="F69" s="631">
        <v>5</v>
      </c>
      <c r="G69" s="445">
        <v>0.01</v>
      </c>
      <c r="H69" s="446">
        <v>0.01</v>
      </c>
      <c r="I69" s="129"/>
      <c r="J69" s="129"/>
      <c r="K69" s="130"/>
      <c r="L69" s="130"/>
      <c r="M69" s="130"/>
      <c r="N69" s="130"/>
    </row>
    <row r="70" spans="2:14" ht="24">
      <c r="B70" s="95"/>
      <c r="C70" s="96" t="s">
        <v>292</v>
      </c>
      <c r="D70" s="119" t="s">
        <v>124</v>
      </c>
      <c r="E70" s="125">
        <f>E61-M61</f>
        <v>-36</v>
      </c>
      <c r="F70" s="631">
        <v>-36</v>
      </c>
      <c r="G70" s="533">
        <v>-0.05</v>
      </c>
      <c r="H70" s="446">
        <v>-0.05</v>
      </c>
      <c r="I70" s="129"/>
      <c r="J70" s="129"/>
      <c r="K70" s="130"/>
      <c r="L70" s="130"/>
      <c r="M70" s="130"/>
      <c r="N70" s="130"/>
    </row>
    <row r="71" spans="2:14" ht="12.75" thickBot="1">
      <c r="B71" s="697" t="s">
        <v>118</v>
      </c>
      <c r="C71" s="698"/>
      <c r="D71" s="137"/>
      <c r="E71" s="138">
        <f>SUM(E66:E70)</f>
        <v>914</v>
      </c>
      <c r="F71" s="632">
        <f>SUM(F66:F70)</f>
        <v>698</v>
      </c>
      <c r="G71" s="450">
        <v>0.95</v>
      </c>
      <c r="H71" s="451">
        <v>0.94</v>
      </c>
      <c r="I71" s="141"/>
      <c r="J71" s="111"/>
      <c r="K71" s="111"/>
      <c r="L71" s="111"/>
      <c r="M71" s="111"/>
      <c r="N71" s="111"/>
    </row>
    <row r="72" spans="2:14" ht="5.25" customHeight="1" thickTop="1" thickBot="1">
      <c r="B72" s="142"/>
      <c r="C72" s="143"/>
      <c r="D72" s="144"/>
      <c r="E72" s="145"/>
      <c r="F72" s="633"/>
      <c r="G72" s="633"/>
      <c r="H72" s="634"/>
      <c r="I72" s="110"/>
      <c r="J72" s="111"/>
      <c r="K72" s="111"/>
      <c r="L72" s="111"/>
      <c r="M72" s="111"/>
      <c r="N72" s="111"/>
    </row>
    <row r="73" spans="2:14">
      <c r="B73" s="110"/>
      <c r="C73" s="110"/>
      <c r="D73" s="176"/>
      <c r="E73" s="110"/>
      <c r="F73" s="635"/>
      <c r="G73" s="635"/>
      <c r="H73" s="635"/>
      <c r="I73" s="110"/>
      <c r="J73" s="111"/>
      <c r="K73" s="111"/>
      <c r="L73" s="111"/>
      <c r="M73" s="111"/>
      <c r="N73" s="111"/>
    </row>
    <row r="74" spans="2:14">
      <c r="B74" s="206"/>
      <c r="C74" s="700" t="s">
        <v>129</v>
      </c>
      <c r="D74" s="700"/>
      <c r="E74" s="700"/>
      <c r="F74" s="700"/>
      <c r="G74" s="700"/>
      <c r="H74" s="700"/>
      <c r="I74" s="700"/>
      <c r="J74" s="700"/>
      <c r="K74" s="700"/>
      <c r="L74" s="700"/>
      <c r="M74" s="700"/>
      <c r="N74" s="700"/>
    </row>
    <row r="75" spans="2:14">
      <c r="B75" s="206"/>
      <c r="C75" s="701" t="s">
        <v>130</v>
      </c>
      <c r="D75" s="701"/>
      <c r="E75" s="701"/>
      <c r="F75" s="701"/>
      <c r="G75" s="701"/>
      <c r="H75" s="701"/>
      <c r="I75" s="701"/>
      <c r="J75" s="701"/>
      <c r="K75" s="701"/>
      <c r="L75" s="701"/>
      <c r="M75" s="701"/>
      <c r="N75" s="701"/>
    </row>
    <row r="76" spans="2:14">
      <c r="B76" s="207"/>
      <c r="C76" s="700" t="s">
        <v>247</v>
      </c>
      <c r="D76" s="700"/>
      <c r="E76" s="700"/>
      <c r="F76" s="700"/>
      <c r="G76" s="700"/>
      <c r="H76" s="700"/>
      <c r="I76" s="700"/>
      <c r="J76" s="700"/>
      <c r="K76" s="700"/>
      <c r="L76" s="700"/>
      <c r="M76" s="700"/>
      <c r="N76" s="700"/>
    </row>
    <row r="77" spans="2:14">
      <c r="B77" s="207"/>
      <c r="C77" s="624" t="s">
        <v>319</v>
      </c>
      <c r="D77" s="624"/>
      <c r="E77" s="624"/>
      <c r="F77" s="624"/>
      <c r="G77" s="624"/>
      <c r="H77" s="624"/>
      <c r="I77" s="624"/>
      <c r="J77" s="624"/>
      <c r="K77" s="624"/>
      <c r="L77" s="624"/>
      <c r="M77" s="624"/>
      <c r="N77" s="624"/>
    </row>
    <row r="78" spans="2:14">
      <c r="B78" s="207"/>
      <c r="C78" s="654" t="s">
        <v>320</v>
      </c>
      <c r="D78" s="654"/>
      <c r="E78" s="654"/>
      <c r="F78" s="654"/>
      <c r="G78" s="654"/>
      <c r="H78" s="654"/>
      <c r="I78" s="654"/>
      <c r="J78" s="654"/>
      <c r="K78" s="654"/>
      <c r="L78" s="654"/>
      <c r="M78" s="654"/>
      <c r="N78" s="654"/>
    </row>
    <row r="79" spans="2:14">
      <c r="B79" s="207"/>
      <c r="C79" s="624"/>
      <c r="D79" s="213"/>
      <c r="E79" s="213"/>
      <c r="F79" s="213"/>
      <c r="G79" s="213"/>
      <c r="H79" s="213"/>
      <c r="I79" s="213"/>
      <c r="J79" s="213"/>
      <c r="K79" s="213"/>
      <c r="L79" s="213"/>
      <c r="M79" s="213"/>
      <c r="N79" s="213"/>
    </row>
    <row r="80" spans="2:14" ht="27" customHeight="1">
      <c r="B80" s="207"/>
      <c r="C80" s="703" t="s">
        <v>327</v>
      </c>
      <c r="D80" s="703"/>
      <c r="E80" s="703"/>
      <c r="F80" s="703"/>
      <c r="G80" s="703"/>
      <c r="H80" s="703"/>
      <c r="I80" s="703"/>
      <c r="J80" s="703"/>
      <c r="K80" s="703"/>
      <c r="L80" s="703"/>
      <c r="M80" s="703"/>
      <c r="N80" s="703"/>
    </row>
    <row r="81" spans="2:14" ht="33.75" customHeight="1">
      <c r="B81" s="207"/>
      <c r="C81" s="702" t="s">
        <v>132</v>
      </c>
      <c r="D81" s="702"/>
      <c r="E81" s="702"/>
      <c r="F81" s="702"/>
      <c r="G81" s="702"/>
      <c r="H81" s="702"/>
      <c r="I81" s="702"/>
      <c r="J81" s="702"/>
      <c r="K81" s="702"/>
      <c r="L81" s="702"/>
      <c r="M81" s="702"/>
      <c r="N81" s="702"/>
    </row>
  </sheetData>
  <sheetProtection formatCells="0" formatColumns="0" formatRows="0" sort="0" autoFilter="0" pivotTables="0"/>
  <mergeCells count="24">
    <mergeCell ref="B15:C15"/>
    <mergeCell ref="B1:N1"/>
    <mergeCell ref="B2:N2"/>
    <mergeCell ref="B3:N3"/>
    <mergeCell ref="B7:C7"/>
    <mergeCell ref="B11:C11"/>
    <mergeCell ref="B66:C66"/>
    <mergeCell ref="B19:C19"/>
    <mergeCell ref="B23:C23"/>
    <mergeCell ref="B27:C27"/>
    <mergeCell ref="B31:C31"/>
    <mergeCell ref="B35:C35"/>
    <mergeCell ref="B39:C39"/>
    <mergeCell ref="B44:C44"/>
    <mergeCell ref="B48:C48"/>
    <mergeCell ref="B53:C53"/>
    <mergeCell ref="B57:C57"/>
    <mergeCell ref="B62:C62"/>
    <mergeCell ref="B71:C71"/>
    <mergeCell ref="C74:N74"/>
    <mergeCell ref="C75:N75"/>
    <mergeCell ref="C76:N76"/>
    <mergeCell ref="C81:N81"/>
    <mergeCell ref="C80:N80"/>
  </mergeCells>
  <pageMargins left="0.7" right="0.7" top="0.25" bottom="0.44" header="0.3" footer="0.3"/>
  <pageSetup scale="44" orientation="landscape" r:id="rId1"/>
  <headerFooter>
    <oddFooter>&amp;LActivision Blizzard, Inc.&amp;R&amp;P of &amp; 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N80"/>
  <sheetViews>
    <sheetView showGridLines="0" view="pageBreakPreview" topLeftCell="A49" zoomScale="80" zoomScaleNormal="100" zoomScaleSheetLayoutView="80" workbookViewId="0"/>
  </sheetViews>
  <sheetFormatPr defaultColWidth="9.140625" defaultRowHeight="12"/>
  <cols>
    <col min="1" max="1" width="2.85546875" style="81" customWidth="1"/>
    <col min="2" max="2" width="1.42578125" style="81" customWidth="1"/>
    <col min="3" max="3" width="58.28515625" style="81" customWidth="1"/>
    <col min="4" max="4" width="3.42578125" style="81" customWidth="1"/>
    <col min="5" max="5" width="11" style="81" customWidth="1"/>
    <col min="6" max="6" width="9.42578125" style="81" customWidth="1"/>
    <col min="7" max="7" width="9.28515625" style="81" customWidth="1"/>
    <col min="8" max="8" width="12.140625" style="81" customWidth="1"/>
    <col min="9" max="9" width="11.14062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9" t="s">
        <v>73</v>
      </c>
      <c r="C1" s="699"/>
      <c r="D1" s="699"/>
      <c r="E1" s="699"/>
      <c r="F1" s="699"/>
      <c r="G1" s="699"/>
      <c r="H1" s="699"/>
      <c r="I1" s="699"/>
      <c r="J1" s="699"/>
      <c r="K1" s="699"/>
      <c r="L1" s="699"/>
      <c r="M1" s="699"/>
      <c r="N1" s="699"/>
    </row>
    <row r="2" spans="2:14">
      <c r="B2" s="699" t="s">
        <v>251</v>
      </c>
      <c r="C2" s="699"/>
      <c r="D2" s="699"/>
      <c r="E2" s="699"/>
      <c r="F2" s="699"/>
      <c r="G2" s="699"/>
      <c r="H2" s="699"/>
      <c r="I2" s="699"/>
      <c r="J2" s="699"/>
      <c r="K2" s="699"/>
      <c r="L2" s="699"/>
      <c r="M2" s="699"/>
      <c r="N2" s="699"/>
    </row>
    <row r="3" spans="2:14">
      <c r="B3" s="699" t="s">
        <v>103</v>
      </c>
      <c r="C3" s="699"/>
      <c r="D3" s="699"/>
      <c r="E3" s="699"/>
      <c r="F3" s="699"/>
      <c r="G3" s="699"/>
      <c r="H3" s="699"/>
      <c r="I3" s="699"/>
      <c r="J3" s="699"/>
      <c r="K3" s="699"/>
      <c r="L3" s="699"/>
      <c r="M3" s="699"/>
      <c r="N3" s="699"/>
    </row>
    <row r="4" spans="2:14">
      <c r="B4" s="590"/>
      <c r="C4" s="590"/>
      <c r="D4" s="590"/>
      <c r="E4" s="590"/>
      <c r="F4" s="590"/>
      <c r="G4" s="590"/>
      <c r="H4" s="590"/>
      <c r="I4" s="590"/>
      <c r="J4" s="590"/>
      <c r="K4" s="590"/>
      <c r="L4" s="590"/>
      <c r="M4" s="590"/>
    </row>
    <row r="5" spans="2:14" ht="12.75" thickBot="1">
      <c r="B5" s="83"/>
      <c r="C5" s="84"/>
      <c r="D5" s="85"/>
      <c r="E5" s="84"/>
      <c r="F5" s="84"/>
      <c r="G5" s="85"/>
      <c r="H5" s="85"/>
      <c r="I5" s="85"/>
      <c r="J5" s="85"/>
      <c r="K5" s="86"/>
      <c r="L5" s="86"/>
      <c r="M5" s="86"/>
    </row>
    <row r="6" spans="2:14" ht="60">
      <c r="B6" s="177" t="s">
        <v>265</v>
      </c>
      <c r="C6" s="178"/>
      <c r="D6" s="179"/>
      <c r="E6" s="88" t="s">
        <v>104</v>
      </c>
      <c r="F6" s="88" t="s">
        <v>105</v>
      </c>
      <c r="G6" s="88" t="s">
        <v>314</v>
      </c>
      <c r="H6" s="88" t="s">
        <v>106</v>
      </c>
      <c r="I6" s="88" t="s">
        <v>107</v>
      </c>
      <c r="J6" s="88" t="s">
        <v>108</v>
      </c>
      <c r="K6" s="88" t="s">
        <v>109</v>
      </c>
      <c r="L6" s="88" t="s">
        <v>110</v>
      </c>
      <c r="M6" s="89" t="s">
        <v>111</v>
      </c>
    </row>
    <row r="7" spans="2:14">
      <c r="B7" s="695" t="s">
        <v>112</v>
      </c>
      <c r="C7" s="696"/>
      <c r="D7" s="182"/>
      <c r="E7" s="120">
        <v>1324</v>
      </c>
      <c r="F7" s="120">
        <v>260</v>
      </c>
      <c r="G7" s="120">
        <v>57</v>
      </c>
      <c r="H7" s="120">
        <v>61</v>
      </c>
      <c r="I7" s="120">
        <v>38</v>
      </c>
      <c r="J7" s="120">
        <v>125</v>
      </c>
      <c r="K7" s="120">
        <v>107</v>
      </c>
      <c r="L7" s="120">
        <v>89</v>
      </c>
      <c r="M7" s="183">
        <f>SUM(F7:L7)</f>
        <v>737</v>
      </c>
    </row>
    <row r="8" spans="2:14" ht="12" customHeight="1">
      <c r="B8" s="95"/>
      <c r="C8" s="96" t="s">
        <v>52</v>
      </c>
      <c r="D8" s="119" t="s">
        <v>114</v>
      </c>
      <c r="E8" s="126">
        <v>-520</v>
      </c>
      <c r="F8" s="126">
        <v>-115</v>
      </c>
      <c r="G8" s="132">
        <v>0</v>
      </c>
      <c r="H8" s="126">
        <v>-33</v>
      </c>
      <c r="I8" s="126">
        <v>-3</v>
      </c>
      <c r="J8" s="132">
        <v>0</v>
      </c>
      <c r="K8" s="132">
        <v>0</v>
      </c>
      <c r="L8" s="132">
        <v>0</v>
      </c>
      <c r="M8" s="184">
        <f>SUM(F8:L8)</f>
        <v>-151</v>
      </c>
    </row>
    <row r="9" spans="2:14">
      <c r="B9" s="95"/>
      <c r="C9" s="96" t="s">
        <v>53</v>
      </c>
      <c r="D9" s="119" t="s">
        <v>115</v>
      </c>
      <c r="E9" s="185">
        <v>0</v>
      </c>
      <c r="F9" s="132">
        <v>0</v>
      </c>
      <c r="G9" s="132">
        <v>0</v>
      </c>
      <c r="H9" s="132">
        <v>-5</v>
      </c>
      <c r="I9" s="132">
        <v>0</v>
      </c>
      <c r="J9" s="126">
        <v>-7</v>
      </c>
      <c r="K9" s="126">
        <v>-2</v>
      </c>
      <c r="L9" s="126">
        <v>-12</v>
      </c>
      <c r="M9" s="184">
        <f>SUM(F9:L9)</f>
        <v>-26</v>
      </c>
    </row>
    <row r="10" spans="2:14">
      <c r="B10" s="95"/>
      <c r="C10" s="96" t="s">
        <v>143</v>
      </c>
      <c r="D10" s="119" t="s">
        <v>116</v>
      </c>
      <c r="E10" s="132">
        <v>0</v>
      </c>
      <c r="F10" s="132">
        <v>0</v>
      </c>
      <c r="G10" s="132">
        <v>0</v>
      </c>
      <c r="H10" s="132">
        <v>0</v>
      </c>
      <c r="I10" s="126">
        <v>-3</v>
      </c>
      <c r="J10" s="132">
        <v>0</v>
      </c>
      <c r="K10" s="132">
        <v>0</v>
      </c>
      <c r="L10" s="132">
        <v>0</v>
      </c>
      <c r="M10" s="184">
        <f>SUM(F10:L10)</f>
        <v>-3</v>
      </c>
    </row>
    <row r="11" spans="2:14" ht="12.75" thickBot="1">
      <c r="B11" s="697" t="s">
        <v>118</v>
      </c>
      <c r="C11" s="698"/>
      <c r="D11" s="211"/>
      <c r="E11" s="138">
        <f t="shared" ref="E11:M11" si="0">SUM(E7:E10)</f>
        <v>804</v>
      </c>
      <c r="F11" s="138">
        <f t="shared" si="0"/>
        <v>145</v>
      </c>
      <c r="G11" s="138">
        <f t="shared" si="0"/>
        <v>57</v>
      </c>
      <c r="H11" s="138">
        <f t="shared" si="0"/>
        <v>23</v>
      </c>
      <c r="I11" s="138">
        <f t="shared" si="0"/>
        <v>32</v>
      </c>
      <c r="J11" s="138">
        <f t="shared" si="0"/>
        <v>118</v>
      </c>
      <c r="K11" s="138">
        <f t="shared" si="0"/>
        <v>105</v>
      </c>
      <c r="L11" s="138">
        <f t="shared" si="0"/>
        <v>77</v>
      </c>
      <c r="M11" s="189">
        <f t="shared" si="0"/>
        <v>557</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36">
      <c r="B14" s="196" t="str">
        <f>B6</f>
        <v>Three Months Ended March 31, 2013</v>
      </c>
      <c r="C14" s="197"/>
      <c r="D14" s="113"/>
      <c r="E14" s="114" t="s">
        <v>125</v>
      </c>
      <c r="F14" s="114" t="s">
        <v>126</v>
      </c>
      <c r="G14" s="441" t="s">
        <v>127</v>
      </c>
      <c r="H14" s="442" t="s">
        <v>128</v>
      </c>
      <c r="I14" s="116"/>
      <c r="J14" s="117"/>
      <c r="K14" s="118"/>
      <c r="L14" s="110"/>
      <c r="M14" s="110"/>
    </row>
    <row r="15" spans="2:14">
      <c r="B15" s="695" t="s">
        <v>112</v>
      </c>
      <c r="C15" s="696"/>
      <c r="D15" s="119"/>
      <c r="E15" s="120">
        <f>E7-M7</f>
        <v>587</v>
      </c>
      <c r="F15" s="311">
        <v>456</v>
      </c>
      <c r="G15" s="443">
        <v>0.4</v>
      </c>
      <c r="H15" s="444">
        <v>0.4</v>
      </c>
      <c r="I15" s="123"/>
      <c r="J15" s="124"/>
      <c r="K15" s="118"/>
      <c r="L15" s="110"/>
      <c r="M15" s="110"/>
      <c r="N15" s="110"/>
    </row>
    <row r="16" spans="2:14" ht="12" customHeight="1">
      <c r="B16" s="95"/>
      <c r="C16" s="96" t="s">
        <v>52</v>
      </c>
      <c r="D16" s="119" t="s">
        <v>114</v>
      </c>
      <c r="E16" s="125">
        <f>E8-M8</f>
        <v>-369</v>
      </c>
      <c r="F16" s="313">
        <v>-277</v>
      </c>
      <c r="G16" s="445">
        <v>-0.24</v>
      </c>
      <c r="H16" s="446">
        <v>-0.24</v>
      </c>
      <c r="I16" s="123"/>
      <c r="J16" s="123"/>
      <c r="K16" s="123"/>
      <c r="L16" s="123"/>
      <c r="M16" s="123"/>
      <c r="N16" s="130"/>
    </row>
    <row r="17" spans="2:14">
      <c r="B17" s="95"/>
      <c r="C17" s="96" t="s">
        <v>53</v>
      </c>
      <c r="D17" s="119" t="s">
        <v>115</v>
      </c>
      <c r="E17" s="125">
        <f>E9-M9</f>
        <v>26</v>
      </c>
      <c r="F17" s="313">
        <v>18</v>
      </c>
      <c r="G17" s="445">
        <v>0.02</v>
      </c>
      <c r="H17" s="446">
        <v>0.02</v>
      </c>
      <c r="I17" s="129"/>
      <c r="J17" s="129"/>
      <c r="K17" s="130"/>
      <c r="L17" s="130"/>
      <c r="M17" s="130"/>
      <c r="N17" s="130"/>
    </row>
    <row r="18" spans="2:14">
      <c r="B18" s="95"/>
      <c r="C18" s="96" t="s">
        <v>143</v>
      </c>
      <c r="D18" s="119" t="s">
        <v>116</v>
      </c>
      <c r="E18" s="125">
        <f>E10-M10</f>
        <v>3</v>
      </c>
      <c r="F18" s="313">
        <v>2</v>
      </c>
      <c r="G18" s="533">
        <v>0</v>
      </c>
      <c r="H18" s="446">
        <v>0</v>
      </c>
      <c r="I18" s="134"/>
      <c r="J18" s="134"/>
      <c r="K18" s="135"/>
      <c r="L18" s="130"/>
      <c r="M18" s="130"/>
      <c r="N18" s="130"/>
    </row>
    <row r="19" spans="2:14" ht="12.75" thickBot="1">
      <c r="B19" s="697" t="s">
        <v>118</v>
      </c>
      <c r="C19" s="698"/>
      <c r="D19" s="137"/>
      <c r="E19" s="138">
        <f>SUM(E15:E18)</f>
        <v>247</v>
      </c>
      <c r="F19" s="138">
        <f>SUM(F15:F18)</f>
        <v>199</v>
      </c>
      <c r="G19" s="450">
        <v>0.17</v>
      </c>
      <c r="H19" s="451">
        <v>0.17</v>
      </c>
      <c r="I19" s="141"/>
      <c r="J19" s="111"/>
      <c r="K19" s="111"/>
      <c r="L19" s="111"/>
      <c r="M19" s="111"/>
      <c r="N19" s="111"/>
    </row>
    <row r="20" spans="2:14" ht="5.25" customHeight="1" thickTop="1" thickBot="1">
      <c r="B20" s="142"/>
      <c r="C20" s="143"/>
      <c r="D20" s="144"/>
      <c r="E20" s="145"/>
      <c r="F20" s="145"/>
      <c r="G20" s="145"/>
      <c r="H20" s="146"/>
      <c r="I20" s="110"/>
      <c r="J20" s="111"/>
      <c r="K20" s="111"/>
      <c r="L20" s="111"/>
      <c r="M20" s="111"/>
      <c r="N20" s="111"/>
    </row>
    <row r="21" spans="2:14" ht="12.75" thickBot="1">
      <c r="B21" s="110"/>
      <c r="C21" s="110"/>
      <c r="D21" s="176"/>
      <c r="E21" s="110"/>
      <c r="F21" s="110"/>
      <c r="G21" s="110"/>
      <c r="H21" s="110"/>
      <c r="I21" s="110"/>
      <c r="J21" s="111"/>
      <c r="K21" s="111"/>
      <c r="L21" s="111"/>
      <c r="M21" s="111"/>
      <c r="N21" s="111"/>
    </row>
    <row r="22" spans="2:14" ht="60">
      <c r="B22" s="177" t="s">
        <v>272</v>
      </c>
      <c r="C22" s="178"/>
      <c r="D22" s="179"/>
      <c r="E22" s="88" t="s">
        <v>104</v>
      </c>
      <c r="F22" s="88" t="s">
        <v>105</v>
      </c>
      <c r="G22" s="88" t="s">
        <v>314</v>
      </c>
      <c r="H22" s="88" t="s">
        <v>106</v>
      </c>
      <c r="I22" s="88" t="s">
        <v>107</v>
      </c>
      <c r="J22" s="88" t="s">
        <v>108</v>
      </c>
      <c r="K22" s="88" t="s">
        <v>109</v>
      </c>
      <c r="L22" s="88" t="s">
        <v>110</v>
      </c>
      <c r="M22" s="89" t="s">
        <v>111</v>
      </c>
    </row>
    <row r="23" spans="2:14">
      <c r="B23" s="695" t="s">
        <v>112</v>
      </c>
      <c r="C23" s="696"/>
      <c r="D23" s="182"/>
      <c r="E23" s="120">
        <v>1050</v>
      </c>
      <c r="F23" s="120">
        <v>179</v>
      </c>
      <c r="G23" s="120">
        <v>54</v>
      </c>
      <c r="H23" s="120">
        <v>38</v>
      </c>
      <c r="I23" s="120">
        <v>14</v>
      </c>
      <c r="J23" s="120">
        <v>123</v>
      </c>
      <c r="K23" s="120">
        <v>116</v>
      </c>
      <c r="L23" s="120">
        <v>96</v>
      </c>
      <c r="M23" s="183">
        <f>SUM(F23:L23)</f>
        <v>620</v>
      </c>
    </row>
    <row r="24" spans="2:14" ht="12" customHeight="1">
      <c r="B24" s="95"/>
      <c r="C24" s="96" t="s">
        <v>52</v>
      </c>
      <c r="D24" s="119" t="s">
        <v>114</v>
      </c>
      <c r="E24" s="126">
        <v>-442</v>
      </c>
      <c r="F24" s="126">
        <v>-77</v>
      </c>
      <c r="G24" s="132">
        <v>0</v>
      </c>
      <c r="H24" s="126">
        <v>-26</v>
      </c>
      <c r="I24" s="126">
        <v>-1</v>
      </c>
      <c r="J24" s="132">
        <v>0</v>
      </c>
      <c r="K24" s="132">
        <v>0</v>
      </c>
      <c r="L24" s="132">
        <v>0</v>
      </c>
      <c r="M24" s="184">
        <f>SUM(F24:L24)</f>
        <v>-104</v>
      </c>
    </row>
    <row r="25" spans="2:14">
      <c r="B25" s="95"/>
      <c r="C25" s="96" t="s">
        <v>53</v>
      </c>
      <c r="D25" s="119" t="s">
        <v>115</v>
      </c>
      <c r="E25" s="185">
        <v>0</v>
      </c>
      <c r="F25" s="132">
        <v>0</v>
      </c>
      <c r="G25" s="132">
        <v>0</v>
      </c>
      <c r="H25" s="132">
        <v>-3</v>
      </c>
      <c r="I25" s="132">
        <v>0</v>
      </c>
      <c r="J25" s="126">
        <v>-7</v>
      </c>
      <c r="K25" s="126">
        <v>-2</v>
      </c>
      <c r="L25" s="126">
        <v>-12</v>
      </c>
      <c r="M25" s="184">
        <f>SUM(F25:L25)</f>
        <v>-24</v>
      </c>
    </row>
    <row r="26" spans="2:14">
      <c r="B26" s="95"/>
      <c r="C26" s="96" t="s">
        <v>143</v>
      </c>
      <c r="D26" s="119" t="s">
        <v>116</v>
      </c>
      <c r="E26" s="132">
        <v>0</v>
      </c>
      <c r="F26" s="132">
        <v>0</v>
      </c>
      <c r="G26" s="132">
        <v>0</v>
      </c>
      <c r="H26" s="132">
        <v>0</v>
      </c>
      <c r="I26" s="126">
        <v>-3</v>
      </c>
      <c r="J26" s="132">
        <v>0</v>
      </c>
      <c r="K26" s="132">
        <v>0</v>
      </c>
      <c r="L26" s="132">
        <v>0</v>
      </c>
      <c r="M26" s="184">
        <f>SUM(F26:L26)</f>
        <v>-3</v>
      </c>
    </row>
    <row r="27" spans="2:14" ht="12.75" thickBot="1">
      <c r="B27" s="697" t="s">
        <v>118</v>
      </c>
      <c r="C27" s="698"/>
      <c r="D27" s="211"/>
      <c r="E27" s="138">
        <f t="shared" ref="E27:M27" si="1">SUM(E23:E26)</f>
        <v>608</v>
      </c>
      <c r="F27" s="138">
        <f t="shared" si="1"/>
        <v>102</v>
      </c>
      <c r="G27" s="138">
        <f t="shared" si="1"/>
        <v>54</v>
      </c>
      <c r="H27" s="138">
        <f t="shared" si="1"/>
        <v>9</v>
      </c>
      <c r="I27" s="138">
        <f t="shared" si="1"/>
        <v>10</v>
      </c>
      <c r="J27" s="138">
        <f t="shared" si="1"/>
        <v>116</v>
      </c>
      <c r="K27" s="138">
        <f t="shared" si="1"/>
        <v>114</v>
      </c>
      <c r="L27" s="138">
        <f t="shared" si="1"/>
        <v>84</v>
      </c>
      <c r="M27" s="189">
        <f t="shared" si="1"/>
        <v>489</v>
      </c>
    </row>
    <row r="28" spans="2:14" ht="5.25" customHeight="1" thickTop="1" thickBot="1">
      <c r="B28" s="105"/>
      <c r="C28" s="106"/>
      <c r="D28" s="107"/>
      <c r="E28" s="106"/>
      <c r="F28" s="108"/>
      <c r="G28" s="108"/>
      <c r="H28" s="108"/>
      <c r="I28" s="108"/>
      <c r="J28" s="108"/>
      <c r="K28" s="108"/>
      <c r="L28" s="108"/>
      <c r="M28" s="109"/>
    </row>
    <row r="29" spans="2:14" ht="12.75" customHeight="1" thickBot="1">
      <c r="B29" s="110"/>
      <c r="C29" s="111"/>
      <c r="D29" s="112"/>
      <c r="E29" s="111"/>
      <c r="F29" s="111"/>
      <c r="G29" s="111"/>
      <c r="H29" s="111"/>
      <c r="I29" s="111"/>
      <c r="J29" s="111"/>
      <c r="K29" s="111"/>
      <c r="L29" s="111"/>
      <c r="M29" s="111"/>
    </row>
    <row r="30" spans="2:14" ht="36">
      <c r="B30" s="196" t="str">
        <f>B22</f>
        <v>Three Months Ended June 30, 2013</v>
      </c>
      <c r="C30" s="197"/>
      <c r="D30" s="113"/>
      <c r="E30" s="114" t="s">
        <v>125</v>
      </c>
      <c r="F30" s="114" t="s">
        <v>126</v>
      </c>
      <c r="G30" s="441" t="s">
        <v>127</v>
      </c>
      <c r="H30" s="442" t="s">
        <v>128</v>
      </c>
      <c r="I30" s="116"/>
      <c r="J30" s="117"/>
      <c r="K30" s="118"/>
      <c r="L30" s="110"/>
      <c r="M30" s="110"/>
    </row>
    <row r="31" spans="2:14">
      <c r="B31" s="695" t="s">
        <v>112</v>
      </c>
      <c r="C31" s="696"/>
      <c r="D31" s="119"/>
      <c r="E31" s="120">
        <f>E23-M23</f>
        <v>430</v>
      </c>
      <c r="F31" s="311">
        <v>324</v>
      </c>
      <c r="G31" s="443">
        <v>0.28000000000000003</v>
      </c>
      <c r="H31" s="444">
        <v>0.28000000000000003</v>
      </c>
      <c r="I31" s="123"/>
      <c r="J31" s="124"/>
      <c r="K31" s="118"/>
      <c r="L31" s="110"/>
      <c r="M31" s="110"/>
      <c r="N31" s="110"/>
    </row>
    <row r="32" spans="2:14" ht="12" customHeight="1">
      <c r="B32" s="95"/>
      <c r="C32" s="96" t="s">
        <v>52</v>
      </c>
      <c r="D32" s="119" t="s">
        <v>114</v>
      </c>
      <c r="E32" s="125">
        <f>E24-M24</f>
        <v>-338</v>
      </c>
      <c r="F32" s="313">
        <v>-251</v>
      </c>
      <c r="G32" s="445">
        <v>-0.22</v>
      </c>
      <c r="H32" s="446">
        <v>-0.22</v>
      </c>
      <c r="I32" s="123"/>
      <c r="J32" s="123"/>
      <c r="K32" s="123"/>
      <c r="L32" s="123"/>
      <c r="M32" s="123"/>
      <c r="N32" s="130"/>
    </row>
    <row r="33" spans="2:14">
      <c r="B33" s="95"/>
      <c r="C33" s="96" t="s">
        <v>53</v>
      </c>
      <c r="D33" s="119" t="s">
        <v>115</v>
      </c>
      <c r="E33" s="125">
        <f>E25-M25</f>
        <v>24</v>
      </c>
      <c r="F33" s="313">
        <v>15</v>
      </c>
      <c r="G33" s="445">
        <v>0.01</v>
      </c>
      <c r="H33" s="446">
        <v>0.01</v>
      </c>
      <c r="I33" s="129"/>
      <c r="J33" s="129"/>
      <c r="K33" s="130"/>
      <c r="L33" s="130"/>
      <c r="M33" s="130"/>
      <c r="N33" s="130"/>
    </row>
    <row r="34" spans="2:14">
      <c r="B34" s="95"/>
      <c r="C34" s="96" t="s">
        <v>143</v>
      </c>
      <c r="D34" s="119" t="s">
        <v>116</v>
      </c>
      <c r="E34" s="125">
        <f>E26-M26</f>
        <v>3</v>
      </c>
      <c r="F34" s="313">
        <v>2</v>
      </c>
      <c r="G34" s="533">
        <v>0</v>
      </c>
      <c r="H34" s="446">
        <v>0</v>
      </c>
      <c r="I34" s="134"/>
      <c r="J34" s="134"/>
      <c r="K34" s="135"/>
      <c r="L34" s="130"/>
      <c r="M34" s="130"/>
      <c r="N34" s="130"/>
    </row>
    <row r="35" spans="2:14" ht="12.75" thickBot="1">
      <c r="B35" s="697" t="s">
        <v>118</v>
      </c>
      <c r="C35" s="698"/>
      <c r="D35" s="137"/>
      <c r="E35" s="138">
        <f>SUM(E31:E34)</f>
        <v>119</v>
      </c>
      <c r="F35" s="138">
        <f>SUM(F31:F34)</f>
        <v>90</v>
      </c>
      <c r="G35" s="450">
        <v>0.08</v>
      </c>
      <c r="H35" s="451">
        <v>0.08</v>
      </c>
      <c r="I35" s="141"/>
      <c r="J35" s="111"/>
      <c r="K35" s="111"/>
      <c r="L35" s="111"/>
      <c r="M35" s="111"/>
      <c r="N35" s="111"/>
    </row>
    <row r="36" spans="2:14" ht="5.25" customHeight="1" thickTop="1" thickBot="1">
      <c r="B36" s="142"/>
      <c r="C36" s="143"/>
      <c r="D36" s="144"/>
      <c r="E36" s="145"/>
      <c r="F36" s="145"/>
      <c r="G36" s="145"/>
      <c r="H36" s="146"/>
      <c r="I36" s="110"/>
      <c r="J36" s="111"/>
      <c r="K36" s="111"/>
      <c r="L36" s="111"/>
      <c r="M36" s="111"/>
      <c r="N36" s="111"/>
    </row>
    <row r="37" spans="2:14" ht="5.25" customHeight="1" thickBot="1">
      <c r="B37" s="110"/>
      <c r="C37" s="110"/>
      <c r="D37" s="176"/>
      <c r="E37" s="110"/>
      <c r="F37" s="110"/>
      <c r="G37" s="110"/>
      <c r="H37" s="110"/>
      <c r="I37" s="110"/>
      <c r="J37" s="111"/>
      <c r="K37" s="111"/>
      <c r="L37" s="111"/>
      <c r="M37" s="111"/>
      <c r="N37" s="111"/>
    </row>
    <row r="38" spans="2:14" ht="60">
      <c r="B38" s="177" t="s">
        <v>273</v>
      </c>
      <c r="C38" s="178"/>
      <c r="D38" s="179"/>
      <c r="E38" s="88" t="s">
        <v>104</v>
      </c>
      <c r="F38" s="88" t="s">
        <v>105</v>
      </c>
      <c r="G38" s="88" t="s">
        <v>314</v>
      </c>
      <c r="H38" s="88" t="s">
        <v>106</v>
      </c>
      <c r="I38" s="88" t="s">
        <v>107</v>
      </c>
      <c r="J38" s="88" t="s">
        <v>108</v>
      </c>
      <c r="K38" s="88" t="s">
        <v>109</v>
      </c>
      <c r="L38" s="88" t="s">
        <v>110</v>
      </c>
      <c r="M38" s="89" t="s">
        <v>111</v>
      </c>
    </row>
    <row r="39" spans="2:14">
      <c r="B39" s="695" t="s">
        <v>112</v>
      </c>
      <c r="C39" s="696"/>
      <c r="D39" s="182"/>
      <c r="E39" s="120">
        <v>691</v>
      </c>
      <c r="F39" s="120">
        <v>111</v>
      </c>
      <c r="G39" s="120">
        <v>43</v>
      </c>
      <c r="H39" s="120">
        <v>16</v>
      </c>
      <c r="I39" s="120">
        <v>5</v>
      </c>
      <c r="J39" s="120">
        <v>140</v>
      </c>
      <c r="K39" s="120">
        <v>144</v>
      </c>
      <c r="L39" s="120">
        <v>162</v>
      </c>
      <c r="M39" s="183">
        <f>SUM(F39:L39)</f>
        <v>621</v>
      </c>
    </row>
    <row r="40" spans="2:14" ht="12" customHeight="1">
      <c r="B40" s="95"/>
      <c r="C40" s="96" t="s">
        <v>52</v>
      </c>
      <c r="D40" s="119" t="s">
        <v>114</v>
      </c>
      <c r="E40" s="126">
        <v>-34</v>
      </c>
      <c r="F40" s="126">
        <v>1</v>
      </c>
      <c r="G40" s="132">
        <v>0</v>
      </c>
      <c r="H40" s="126">
        <v>-3</v>
      </c>
      <c r="I40" s="132">
        <v>0</v>
      </c>
      <c r="J40" s="132">
        <v>0</v>
      </c>
      <c r="K40" s="132">
        <v>0</v>
      </c>
      <c r="L40" s="132">
        <v>0</v>
      </c>
      <c r="M40" s="184">
        <f>SUM(F40:L40)</f>
        <v>-2</v>
      </c>
    </row>
    <row r="41" spans="2:14">
      <c r="B41" s="95"/>
      <c r="C41" s="96" t="s">
        <v>53</v>
      </c>
      <c r="D41" s="119" t="s">
        <v>115</v>
      </c>
      <c r="E41" s="185">
        <v>0</v>
      </c>
      <c r="F41" s="132">
        <v>0</v>
      </c>
      <c r="G41" s="132">
        <v>0</v>
      </c>
      <c r="H41" s="132">
        <v>-1</v>
      </c>
      <c r="I41" s="132">
        <v>0</v>
      </c>
      <c r="J41" s="126">
        <v>-9</v>
      </c>
      <c r="K41" s="126">
        <v>-2</v>
      </c>
      <c r="L41" s="126">
        <v>-13</v>
      </c>
      <c r="M41" s="184">
        <f>SUM(F41:L41)</f>
        <v>-25</v>
      </c>
    </row>
    <row r="42" spans="2:14">
      <c r="B42" s="95"/>
      <c r="C42" s="96" t="s">
        <v>143</v>
      </c>
      <c r="D42" s="119" t="s">
        <v>116</v>
      </c>
      <c r="E42" s="185">
        <v>0</v>
      </c>
      <c r="F42" s="132">
        <v>0</v>
      </c>
      <c r="G42" s="132">
        <v>0</v>
      </c>
      <c r="H42" s="132">
        <v>0</v>
      </c>
      <c r="I42" s="132">
        <v>-3</v>
      </c>
      <c r="J42" s="132">
        <v>0</v>
      </c>
      <c r="K42" s="132">
        <v>0</v>
      </c>
      <c r="L42" s="132">
        <v>0</v>
      </c>
      <c r="M42" s="184">
        <f>SUM(F42:L42)</f>
        <v>-3</v>
      </c>
    </row>
    <row r="43" spans="2:14" ht="24">
      <c r="B43" s="95"/>
      <c r="C43" s="96" t="s">
        <v>292</v>
      </c>
      <c r="D43" s="119" t="s">
        <v>124</v>
      </c>
      <c r="E43" s="132">
        <v>0</v>
      </c>
      <c r="F43" s="132">
        <v>0</v>
      </c>
      <c r="G43" s="132">
        <v>0</v>
      </c>
      <c r="H43" s="132">
        <v>0</v>
      </c>
      <c r="I43" s="132">
        <v>0</v>
      </c>
      <c r="J43" s="132">
        <v>0</v>
      </c>
      <c r="K43" s="132">
        <v>0</v>
      </c>
      <c r="L43" s="132">
        <v>-62</v>
      </c>
      <c r="M43" s="184">
        <f>SUM(F43:L43)</f>
        <v>-62</v>
      </c>
    </row>
    <row r="44" spans="2:14" ht="12.75" thickBot="1">
      <c r="B44" s="697" t="s">
        <v>118</v>
      </c>
      <c r="C44" s="698"/>
      <c r="D44" s="211"/>
      <c r="E44" s="138">
        <f t="shared" ref="E44:M44" si="2">SUM(E39:E43)</f>
        <v>657</v>
      </c>
      <c r="F44" s="138">
        <f t="shared" si="2"/>
        <v>112</v>
      </c>
      <c r="G44" s="138">
        <f t="shared" si="2"/>
        <v>43</v>
      </c>
      <c r="H44" s="138">
        <f t="shared" si="2"/>
        <v>12</v>
      </c>
      <c r="I44" s="138">
        <f t="shared" si="2"/>
        <v>2</v>
      </c>
      <c r="J44" s="138">
        <f t="shared" si="2"/>
        <v>131</v>
      </c>
      <c r="K44" s="138">
        <f t="shared" si="2"/>
        <v>142</v>
      </c>
      <c r="L44" s="138">
        <f t="shared" si="2"/>
        <v>87</v>
      </c>
      <c r="M44" s="189">
        <f t="shared" si="2"/>
        <v>529</v>
      </c>
    </row>
    <row r="45" spans="2:14" ht="5.25" customHeight="1" thickTop="1" thickBot="1">
      <c r="B45" s="105"/>
      <c r="C45" s="106"/>
      <c r="D45" s="107"/>
      <c r="E45" s="106"/>
      <c r="F45" s="108"/>
      <c r="G45" s="108"/>
      <c r="H45" s="108"/>
      <c r="I45" s="108"/>
      <c r="J45" s="108"/>
      <c r="K45" s="108"/>
      <c r="L45" s="108"/>
      <c r="M45" s="109"/>
    </row>
    <row r="46" spans="2:14" ht="12.75" customHeight="1" thickBot="1">
      <c r="B46" s="110"/>
      <c r="C46" s="111"/>
      <c r="D46" s="112"/>
      <c r="E46" s="111"/>
      <c r="F46" s="111"/>
      <c r="G46" s="111"/>
      <c r="H46" s="111"/>
      <c r="I46" s="111"/>
      <c r="J46" s="111"/>
      <c r="K46" s="111"/>
      <c r="L46" s="111"/>
      <c r="M46" s="111"/>
    </row>
    <row r="47" spans="2:14" ht="36">
      <c r="B47" s="196" t="str">
        <f>B38</f>
        <v>Three Months Ended September 30, 2013</v>
      </c>
      <c r="C47" s="197"/>
      <c r="D47" s="113"/>
      <c r="E47" s="114" t="s">
        <v>125</v>
      </c>
      <c r="F47" s="114" t="s">
        <v>126</v>
      </c>
      <c r="G47" s="441" t="s">
        <v>127</v>
      </c>
      <c r="H47" s="442" t="s">
        <v>128</v>
      </c>
      <c r="I47" s="116"/>
      <c r="J47" s="117"/>
      <c r="K47" s="118"/>
      <c r="L47" s="110"/>
      <c r="M47" s="110"/>
    </row>
    <row r="48" spans="2:14">
      <c r="B48" s="695" t="s">
        <v>112</v>
      </c>
      <c r="C48" s="696"/>
      <c r="D48" s="119"/>
      <c r="E48" s="120">
        <f>E39-M39</f>
        <v>70</v>
      </c>
      <c r="F48" s="311">
        <v>56</v>
      </c>
      <c r="G48" s="443">
        <v>0.05</v>
      </c>
      <c r="H48" s="444">
        <v>0.05</v>
      </c>
      <c r="I48" s="123"/>
      <c r="J48" s="124"/>
      <c r="K48" s="118"/>
      <c r="L48" s="110"/>
      <c r="M48" s="110"/>
      <c r="N48" s="110"/>
    </row>
    <row r="49" spans="2:14" ht="12" customHeight="1">
      <c r="B49" s="95"/>
      <c r="C49" s="96" t="s">
        <v>52</v>
      </c>
      <c r="D49" s="119" t="s">
        <v>114</v>
      </c>
      <c r="E49" s="125">
        <f>E40-M40</f>
        <v>-32</v>
      </c>
      <c r="F49" s="313">
        <v>-23</v>
      </c>
      <c r="G49" s="445">
        <v>-0.02</v>
      </c>
      <c r="H49" s="446">
        <v>-0.02</v>
      </c>
      <c r="I49" s="123"/>
      <c r="J49" s="123"/>
      <c r="K49" s="123"/>
      <c r="L49" s="123"/>
      <c r="M49" s="123"/>
      <c r="N49" s="130"/>
    </row>
    <row r="50" spans="2:14">
      <c r="B50" s="95"/>
      <c r="C50" s="96" t="s">
        <v>53</v>
      </c>
      <c r="D50" s="119" t="s">
        <v>115</v>
      </c>
      <c r="E50" s="125">
        <f>E41-M41</f>
        <v>25</v>
      </c>
      <c r="F50" s="313">
        <v>16</v>
      </c>
      <c r="G50" s="445">
        <v>0.01</v>
      </c>
      <c r="H50" s="446">
        <v>0.01</v>
      </c>
      <c r="I50" s="129"/>
      <c r="J50" s="129"/>
      <c r="K50" s="130"/>
      <c r="L50" s="130"/>
      <c r="M50" s="130"/>
      <c r="N50" s="130"/>
    </row>
    <row r="51" spans="2:14">
      <c r="B51" s="95"/>
      <c r="C51" s="96" t="s">
        <v>143</v>
      </c>
      <c r="D51" s="119" t="s">
        <v>116</v>
      </c>
      <c r="E51" s="125">
        <f>E42-M42</f>
        <v>3</v>
      </c>
      <c r="F51" s="313">
        <v>2</v>
      </c>
      <c r="G51" s="445">
        <v>0</v>
      </c>
      <c r="H51" s="446">
        <v>0</v>
      </c>
      <c r="I51" s="129"/>
      <c r="J51" s="129"/>
      <c r="K51" s="130"/>
      <c r="L51" s="130"/>
      <c r="M51" s="130"/>
      <c r="N51" s="130"/>
    </row>
    <row r="52" spans="2:14" ht="24">
      <c r="B52" s="95"/>
      <c r="C52" s="96" t="s">
        <v>292</v>
      </c>
      <c r="D52" s="119" t="s">
        <v>124</v>
      </c>
      <c r="E52" s="125">
        <f>E43-M43</f>
        <v>62</v>
      </c>
      <c r="F52" s="313">
        <v>39</v>
      </c>
      <c r="G52" s="533">
        <v>0.03</v>
      </c>
      <c r="H52" s="446">
        <v>0.03</v>
      </c>
      <c r="I52" s="134"/>
      <c r="J52" s="134"/>
      <c r="K52" s="135"/>
      <c r="L52" s="130"/>
      <c r="M52" s="130"/>
      <c r="N52" s="130"/>
    </row>
    <row r="53" spans="2:14" ht="12.75" thickBot="1">
      <c r="B53" s="697" t="s">
        <v>118</v>
      </c>
      <c r="C53" s="698"/>
      <c r="D53" s="137"/>
      <c r="E53" s="138">
        <f>SUM(E48:E52)</f>
        <v>128</v>
      </c>
      <c r="F53" s="138">
        <f>SUM(F48:F52)</f>
        <v>90</v>
      </c>
      <c r="G53" s="450">
        <v>0.08</v>
      </c>
      <c r="H53" s="451">
        <v>0.08</v>
      </c>
      <c r="I53" s="141"/>
      <c r="J53" s="111"/>
      <c r="K53" s="111"/>
      <c r="L53" s="111"/>
      <c r="M53" s="111"/>
      <c r="N53" s="111"/>
    </row>
    <row r="54" spans="2:14" ht="5.25" customHeight="1" thickTop="1" thickBot="1">
      <c r="B54" s="142"/>
      <c r="C54" s="143"/>
      <c r="D54" s="144"/>
      <c r="E54" s="145"/>
      <c r="F54" s="145"/>
      <c r="G54" s="145"/>
      <c r="H54" s="146"/>
      <c r="I54" s="110"/>
      <c r="J54" s="111"/>
      <c r="K54" s="111"/>
      <c r="L54" s="111"/>
      <c r="M54" s="111"/>
      <c r="N54" s="111"/>
    </row>
    <row r="55" spans="2:14" ht="5.25" customHeight="1" thickBot="1">
      <c r="B55" s="110"/>
      <c r="C55" s="110"/>
      <c r="D55" s="176"/>
      <c r="E55" s="110"/>
      <c r="F55" s="110"/>
      <c r="G55" s="110"/>
      <c r="H55" s="110"/>
      <c r="I55" s="110"/>
      <c r="J55" s="111"/>
      <c r="K55" s="111"/>
      <c r="L55" s="111"/>
      <c r="M55" s="111"/>
      <c r="N55" s="111"/>
    </row>
    <row r="56" spans="2:14" ht="60">
      <c r="B56" s="177" t="s">
        <v>295</v>
      </c>
      <c r="C56" s="178"/>
      <c r="D56" s="179"/>
      <c r="E56" s="88" t="s">
        <v>104</v>
      </c>
      <c r="F56" s="88" t="s">
        <v>105</v>
      </c>
      <c r="G56" s="88" t="s">
        <v>314</v>
      </c>
      <c r="H56" s="88" t="s">
        <v>106</v>
      </c>
      <c r="I56" s="88" t="s">
        <v>107</v>
      </c>
      <c r="J56" s="88" t="s">
        <v>108</v>
      </c>
      <c r="K56" s="88" t="s">
        <v>109</v>
      </c>
      <c r="L56" s="88" t="s">
        <v>110</v>
      </c>
      <c r="M56" s="89" t="s">
        <v>111</v>
      </c>
    </row>
    <row r="57" spans="2:14">
      <c r="B57" s="695" t="s">
        <v>112</v>
      </c>
      <c r="C57" s="696"/>
      <c r="D57" s="182"/>
      <c r="E57" s="120">
        <v>1518</v>
      </c>
      <c r="F57" s="120">
        <v>502</v>
      </c>
      <c r="G57" s="120">
        <v>50</v>
      </c>
      <c r="H57" s="120">
        <v>72</v>
      </c>
      <c r="I57" s="120">
        <v>31</v>
      </c>
      <c r="J57" s="120">
        <v>197</v>
      </c>
      <c r="K57" s="120">
        <v>239</v>
      </c>
      <c r="L57" s="120">
        <v>143</v>
      </c>
      <c r="M57" s="183">
        <f>SUM(F57:L57)</f>
        <v>1234</v>
      </c>
    </row>
    <row r="58" spans="2:14" ht="12" customHeight="1">
      <c r="B58" s="95"/>
      <c r="C58" s="96" t="s">
        <v>52</v>
      </c>
      <c r="D58" s="119" t="s">
        <v>114</v>
      </c>
      <c r="E58" s="126">
        <v>754</v>
      </c>
      <c r="F58" s="126">
        <v>181</v>
      </c>
      <c r="G58" s="132">
        <v>0</v>
      </c>
      <c r="H58" s="126">
        <v>64</v>
      </c>
      <c r="I58" s="132">
        <v>0</v>
      </c>
      <c r="J58" s="132">
        <v>0</v>
      </c>
      <c r="K58" s="132">
        <v>0</v>
      </c>
      <c r="L58" s="132">
        <v>0</v>
      </c>
      <c r="M58" s="184">
        <f>SUM(F58:L58)</f>
        <v>245</v>
      </c>
    </row>
    <row r="59" spans="2:14">
      <c r="B59" s="95"/>
      <c r="C59" s="96" t="s">
        <v>53</v>
      </c>
      <c r="D59" s="119" t="s">
        <v>115</v>
      </c>
      <c r="E59" s="185">
        <v>0</v>
      </c>
      <c r="F59" s="132">
        <v>0</v>
      </c>
      <c r="G59" s="132">
        <v>0</v>
      </c>
      <c r="H59" s="132">
        <v>-7</v>
      </c>
      <c r="I59" s="132">
        <v>0</v>
      </c>
      <c r="J59" s="126">
        <v>-10</v>
      </c>
      <c r="K59" s="126">
        <v>-2</v>
      </c>
      <c r="L59" s="126">
        <v>-15</v>
      </c>
      <c r="M59" s="184">
        <f>SUM(F59:L59)</f>
        <v>-34</v>
      </c>
    </row>
    <row r="60" spans="2:14">
      <c r="B60" s="95"/>
      <c r="C60" s="96" t="s">
        <v>143</v>
      </c>
      <c r="D60" s="119" t="s">
        <v>116</v>
      </c>
      <c r="E60" s="185">
        <v>0</v>
      </c>
      <c r="F60" s="132">
        <v>0</v>
      </c>
      <c r="G60" s="132">
        <v>0</v>
      </c>
      <c r="H60" s="132">
        <v>0</v>
      </c>
      <c r="I60" s="132">
        <v>-15</v>
      </c>
      <c r="J60" s="132">
        <v>0</v>
      </c>
      <c r="K60" s="132">
        <v>0</v>
      </c>
      <c r="L60" s="132">
        <v>0</v>
      </c>
      <c r="M60" s="184">
        <f>SUM(F60:L60)</f>
        <v>-15</v>
      </c>
    </row>
    <row r="61" spans="2:14" ht="24">
      <c r="B61" s="95"/>
      <c r="C61" s="96" t="s">
        <v>292</v>
      </c>
      <c r="D61" s="119" t="s">
        <v>124</v>
      </c>
      <c r="E61" s="132">
        <v>0</v>
      </c>
      <c r="F61" s="132">
        <v>0</v>
      </c>
      <c r="G61" s="132">
        <v>0</v>
      </c>
      <c r="H61" s="132">
        <v>0</v>
      </c>
      <c r="I61" s="132">
        <v>0</v>
      </c>
      <c r="J61" s="132">
        <v>0</v>
      </c>
      <c r="K61" s="132">
        <v>0</v>
      </c>
      <c r="L61" s="132">
        <v>-18</v>
      </c>
      <c r="M61" s="184">
        <f>SUM(F61:L61)</f>
        <v>-18</v>
      </c>
    </row>
    <row r="62" spans="2:14" ht="12.75" thickBot="1">
      <c r="B62" s="697" t="s">
        <v>118</v>
      </c>
      <c r="C62" s="698"/>
      <c r="D62" s="211"/>
      <c r="E62" s="138">
        <f t="shared" ref="E62:M62" si="3">SUM(E57:E61)</f>
        <v>2272</v>
      </c>
      <c r="F62" s="138">
        <f t="shared" si="3"/>
        <v>683</v>
      </c>
      <c r="G62" s="138">
        <f t="shared" si="3"/>
        <v>50</v>
      </c>
      <c r="H62" s="138">
        <f t="shared" si="3"/>
        <v>129</v>
      </c>
      <c r="I62" s="138">
        <f t="shared" si="3"/>
        <v>16</v>
      </c>
      <c r="J62" s="138">
        <f t="shared" si="3"/>
        <v>187</v>
      </c>
      <c r="K62" s="138">
        <f t="shared" si="3"/>
        <v>237</v>
      </c>
      <c r="L62" s="138">
        <f t="shared" si="3"/>
        <v>110</v>
      </c>
      <c r="M62" s="189">
        <f t="shared" si="3"/>
        <v>1412</v>
      </c>
    </row>
    <row r="63" spans="2:14" ht="5.25" customHeight="1" thickTop="1" thickBot="1">
      <c r="B63" s="105"/>
      <c r="C63" s="106"/>
      <c r="D63" s="107"/>
      <c r="E63" s="106"/>
      <c r="F63" s="108"/>
      <c r="G63" s="108"/>
      <c r="H63" s="108"/>
      <c r="I63" s="108"/>
      <c r="J63" s="108"/>
      <c r="K63" s="108"/>
      <c r="L63" s="108"/>
      <c r="M63" s="109"/>
    </row>
    <row r="64" spans="2:14" ht="12.75" customHeight="1" thickBot="1">
      <c r="B64" s="110"/>
      <c r="C64" s="111"/>
      <c r="D64" s="112"/>
      <c r="E64" s="111"/>
      <c r="F64" s="111"/>
      <c r="G64" s="111"/>
      <c r="H64" s="111"/>
      <c r="I64" s="111"/>
      <c r="J64" s="111"/>
      <c r="K64" s="111"/>
      <c r="L64" s="111"/>
      <c r="M64" s="111"/>
    </row>
    <row r="65" spans="2:14" ht="36">
      <c r="B65" s="196" t="str">
        <f>B56</f>
        <v>Three Months Ended December 31, 2013</v>
      </c>
      <c r="C65" s="197"/>
      <c r="D65" s="113"/>
      <c r="E65" s="114" t="s">
        <v>125</v>
      </c>
      <c r="F65" s="114" t="s">
        <v>126</v>
      </c>
      <c r="G65" s="441" t="s">
        <v>127</v>
      </c>
      <c r="H65" s="442" t="s">
        <v>128</v>
      </c>
      <c r="I65" s="116"/>
      <c r="J65" s="117"/>
      <c r="K65" s="118"/>
      <c r="L65" s="110"/>
      <c r="M65" s="110"/>
    </row>
    <row r="66" spans="2:14">
      <c r="B66" s="695" t="s">
        <v>112</v>
      </c>
      <c r="C66" s="696"/>
      <c r="D66" s="119"/>
      <c r="E66" s="120">
        <f>E57-M57</f>
        <v>284</v>
      </c>
      <c r="F66" s="311">
        <v>174</v>
      </c>
      <c r="G66" s="443">
        <v>0.23</v>
      </c>
      <c r="H66" s="444">
        <v>0.22</v>
      </c>
      <c r="I66" s="123"/>
      <c r="J66" s="124"/>
      <c r="K66" s="118"/>
      <c r="L66" s="110"/>
      <c r="M66" s="110"/>
      <c r="N66" s="110"/>
    </row>
    <row r="67" spans="2:14" ht="12" customHeight="1">
      <c r="B67" s="95"/>
      <c r="C67" s="96" t="s">
        <v>52</v>
      </c>
      <c r="D67" s="119" t="s">
        <v>114</v>
      </c>
      <c r="E67" s="125">
        <f>E58-M58</f>
        <v>509</v>
      </c>
      <c r="F67" s="313">
        <v>401</v>
      </c>
      <c r="G67" s="445">
        <v>0.52</v>
      </c>
      <c r="H67" s="446">
        <v>0.51</v>
      </c>
      <c r="I67" s="123"/>
      <c r="J67" s="123"/>
      <c r="K67" s="123"/>
      <c r="L67" s="123"/>
      <c r="M67" s="123"/>
      <c r="N67" s="130"/>
    </row>
    <row r="68" spans="2:14">
      <c r="B68" s="95"/>
      <c r="C68" s="96" t="s">
        <v>53</v>
      </c>
      <c r="D68" s="119" t="s">
        <v>115</v>
      </c>
      <c r="E68" s="125">
        <f>E59-M59</f>
        <v>34</v>
      </c>
      <c r="F68" s="313">
        <v>23</v>
      </c>
      <c r="G68" s="445">
        <v>0.03</v>
      </c>
      <c r="H68" s="446">
        <v>0.03</v>
      </c>
      <c r="I68" s="129"/>
      <c r="J68" s="129"/>
      <c r="K68" s="130"/>
      <c r="L68" s="130"/>
      <c r="M68" s="130"/>
      <c r="N68" s="130"/>
    </row>
    <row r="69" spans="2:14">
      <c r="B69" s="95"/>
      <c r="C69" s="96" t="s">
        <v>143</v>
      </c>
      <c r="D69" s="119" t="s">
        <v>116</v>
      </c>
      <c r="E69" s="125">
        <f>E60-M60</f>
        <v>15</v>
      </c>
      <c r="F69" s="313">
        <v>9</v>
      </c>
      <c r="G69" s="445">
        <v>0.01</v>
      </c>
      <c r="H69" s="446">
        <v>0.01</v>
      </c>
      <c r="I69" s="129"/>
      <c r="J69" s="129"/>
      <c r="K69" s="130"/>
      <c r="L69" s="130"/>
      <c r="M69" s="130"/>
      <c r="N69" s="130"/>
    </row>
    <row r="70" spans="2:14" ht="24">
      <c r="B70" s="95"/>
      <c r="C70" s="96" t="s">
        <v>292</v>
      </c>
      <c r="D70" s="119" t="s">
        <v>124</v>
      </c>
      <c r="E70" s="125">
        <f>E61-M61</f>
        <v>18</v>
      </c>
      <c r="F70" s="313">
        <v>14</v>
      </c>
      <c r="G70" s="533">
        <v>0.02</v>
      </c>
      <c r="H70" s="446">
        <v>0.02</v>
      </c>
      <c r="I70" s="134"/>
      <c r="J70" s="134"/>
      <c r="K70" s="135"/>
      <c r="L70" s="130"/>
      <c r="M70" s="130"/>
      <c r="N70" s="130"/>
    </row>
    <row r="71" spans="2:14" ht="12.75" thickBot="1">
      <c r="B71" s="697" t="s">
        <v>118</v>
      </c>
      <c r="C71" s="698"/>
      <c r="D71" s="137"/>
      <c r="E71" s="138">
        <f>SUM(E66:E70)</f>
        <v>860</v>
      </c>
      <c r="F71" s="138">
        <f>SUM(F66:F70)</f>
        <v>621</v>
      </c>
      <c r="G71" s="450">
        <v>0.81</v>
      </c>
      <c r="H71" s="451">
        <v>0.79</v>
      </c>
      <c r="I71" s="141"/>
      <c r="J71" s="111"/>
      <c r="K71" s="111"/>
      <c r="L71" s="111"/>
      <c r="M71" s="111"/>
      <c r="N71" s="111"/>
    </row>
    <row r="72" spans="2:14" ht="5.25" customHeight="1" thickTop="1" thickBot="1">
      <c r="B72" s="142"/>
      <c r="C72" s="143"/>
      <c r="D72" s="144"/>
      <c r="E72" s="145"/>
      <c r="F72" s="145"/>
      <c r="G72" s="145"/>
      <c r="H72" s="146"/>
      <c r="I72" s="110"/>
      <c r="J72" s="111"/>
      <c r="K72" s="111"/>
      <c r="L72" s="111"/>
      <c r="M72" s="111"/>
      <c r="N72" s="111"/>
    </row>
    <row r="73" spans="2:14">
      <c r="B73" s="110"/>
      <c r="C73" s="110"/>
      <c r="D73" s="176"/>
      <c r="E73" s="110"/>
      <c r="F73" s="110"/>
      <c r="G73" s="110"/>
      <c r="H73" s="110"/>
      <c r="I73" s="110"/>
      <c r="J73" s="111"/>
      <c r="K73" s="111"/>
      <c r="L73" s="111"/>
      <c r="M73" s="111"/>
      <c r="N73" s="111"/>
    </row>
    <row r="74" spans="2:14">
      <c r="B74" s="206"/>
      <c r="C74" s="700" t="s">
        <v>129</v>
      </c>
      <c r="D74" s="700"/>
      <c r="E74" s="700"/>
      <c r="F74" s="700"/>
      <c r="G74" s="700"/>
      <c r="H74" s="700"/>
      <c r="I74" s="700"/>
      <c r="J74" s="700"/>
      <c r="K74" s="700"/>
      <c r="L74" s="700"/>
      <c r="M74" s="700"/>
      <c r="N74" s="700"/>
    </row>
    <row r="75" spans="2:14">
      <c r="B75" s="206"/>
      <c r="C75" s="701" t="s">
        <v>130</v>
      </c>
      <c r="D75" s="701"/>
      <c r="E75" s="701"/>
      <c r="F75" s="701"/>
      <c r="G75" s="701"/>
      <c r="H75" s="701"/>
      <c r="I75" s="701"/>
      <c r="J75" s="701"/>
      <c r="K75" s="701"/>
      <c r="L75" s="701"/>
      <c r="M75" s="701"/>
      <c r="N75" s="701"/>
    </row>
    <row r="76" spans="2:14">
      <c r="B76" s="207"/>
      <c r="C76" s="700" t="s">
        <v>247</v>
      </c>
      <c r="D76" s="700"/>
      <c r="E76" s="700"/>
      <c r="F76" s="700"/>
      <c r="G76" s="700"/>
      <c r="H76" s="700"/>
      <c r="I76" s="700"/>
      <c r="J76" s="700"/>
      <c r="K76" s="700"/>
      <c r="L76" s="700"/>
      <c r="M76" s="700"/>
      <c r="N76" s="700"/>
    </row>
    <row r="77" spans="2:14">
      <c r="B77" s="207"/>
      <c r="C77" s="654" t="s">
        <v>319</v>
      </c>
      <c r="D77" s="614"/>
      <c r="E77" s="614"/>
      <c r="F77" s="614"/>
      <c r="G77" s="614"/>
      <c r="H77" s="614"/>
      <c r="I77" s="614"/>
      <c r="J77" s="614"/>
      <c r="K77" s="614"/>
      <c r="L77" s="614"/>
      <c r="M77" s="614"/>
      <c r="N77" s="614"/>
    </row>
    <row r="78" spans="2:14">
      <c r="B78" s="207"/>
      <c r="C78" s="654" t="s">
        <v>320</v>
      </c>
      <c r="D78" s="654"/>
      <c r="E78" s="654"/>
      <c r="F78" s="654"/>
      <c r="G78" s="654"/>
      <c r="H78" s="654"/>
      <c r="I78" s="654"/>
      <c r="J78" s="654"/>
      <c r="K78" s="654"/>
      <c r="L78" s="654"/>
      <c r="M78" s="654"/>
      <c r="N78" s="654"/>
    </row>
    <row r="79" spans="2:14">
      <c r="B79" s="207"/>
      <c r="C79" s="589"/>
      <c r="D79" s="213"/>
      <c r="E79" s="213"/>
      <c r="F79" s="213"/>
      <c r="G79" s="213"/>
      <c r="H79" s="213"/>
      <c r="I79" s="213"/>
      <c r="J79" s="213"/>
      <c r="K79" s="213"/>
      <c r="L79" s="213"/>
      <c r="M79" s="213"/>
      <c r="N79" s="213"/>
    </row>
    <row r="80" spans="2:14" ht="33.75" customHeight="1">
      <c r="B80" s="207"/>
      <c r="C80" s="702" t="s">
        <v>132</v>
      </c>
      <c r="D80" s="702"/>
      <c r="E80" s="702"/>
      <c r="F80" s="702"/>
      <c r="G80" s="702"/>
      <c r="H80" s="702"/>
      <c r="I80" s="702"/>
      <c r="J80" s="702"/>
      <c r="K80" s="702"/>
      <c r="L80" s="702"/>
      <c r="M80" s="702"/>
      <c r="N80" s="702"/>
    </row>
  </sheetData>
  <sheetProtection formatCells="0" formatColumns="0" formatRows="0" sort="0" autoFilter="0" pivotTables="0"/>
  <mergeCells count="23">
    <mergeCell ref="C74:N74"/>
    <mergeCell ref="C75:N75"/>
    <mergeCell ref="C76:N76"/>
    <mergeCell ref="C80:N80"/>
    <mergeCell ref="B19:C19"/>
    <mergeCell ref="B23:C23"/>
    <mergeCell ref="B27:C27"/>
    <mergeCell ref="B31:C31"/>
    <mergeCell ref="B35:C35"/>
    <mergeCell ref="B39:C39"/>
    <mergeCell ref="B44:C44"/>
    <mergeCell ref="B48:C48"/>
    <mergeCell ref="B53:C53"/>
    <mergeCell ref="B57:C57"/>
    <mergeCell ref="B62:C62"/>
    <mergeCell ref="B66:C66"/>
    <mergeCell ref="B71:C71"/>
    <mergeCell ref="B15:C15"/>
    <mergeCell ref="B1:N1"/>
    <mergeCell ref="B2:N2"/>
    <mergeCell ref="B3:N3"/>
    <mergeCell ref="B7:C7"/>
    <mergeCell ref="B11:C11"/>
  </mergeCells>
  <pageMargins left="0.7" right="0.7" top="0.25" bottom="0.44" header="0.3" footer="0.3"/>
  <pageSetup scale="45" orientation="landscape" r:id="rId1"/>
  <headerFooter>
    <oddFooter>&amp;LActivision Blizzard, Inc.&amp;R&amp;P of &amp; 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N74"/>
  <sheetViews>
    <sheetView showGridLines="0" view="pageBreakPreview" zoomScale="80" zoomScaleNormal="100" zoomScaleSheetLayoutView="80" workbookViewId="0"/>
  </sheetViews>
  <sheetFormatPr defaultColWidth="9.140625" defaultRowHeight="12"/>
  <cols>
    <col min="1" max="1" width="2.85546875" style="81" customWidth="1"/>
    <col min="2" max="2" width="1.42578125" style="81" customWidth="1"/>
    <col min="3" max="3" width="58.28515625" style="81" customWidth="1"/>
    <col min="4" max="4" width="3.42578125" style="81" customWidth="1"/>
    <col min="5" max="5" width="11" style="81" customWidth="1"/>
    <col min="6" max="6" width="8.5703125" style="81" customWidth="1"/>
    <col min="7" max="7" width="8.28515625" style="81" customWidth="1"/>
    <col min="8" max="8" width="12.140625" style="81" customWidth="1"/>
    <col min="9" max="9" width="9.8554687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9" t="s">
        <v>73</v>
      </c>
      <c r="C1" s="699"/>
      <c r="D1" s="699"/>
      <c r="E1" s="699"/>
      <c r="F1" s="699"/>
      <c r="G1" s="699"/>
      <c r="H1" s="699"/>
      <c r="I1" s="699"/>
      <c r="J1" s="699"/>
      <c r="K1" s="699"/>
      <c r="L1" s="699"/>
      <c r="M1" s="699"/>
      <c r="N1" s="699"/>
    </row>
    <row r="2" spans="2:14">
      <c r="B2" s="699" t="s">
        <v>251</v>
      </c>
      <c r="C2" s="699"/>
      <c r="D2" s="699"/>
      <c r="E2" s="699"/>
      <c r="F2" s="699"/>
      <c r="G2" s="699"/>
      <c r="H2" s="699"/>
      <c r="I2" s="699"/>
      <c r="J2" s="699"/>
      <c r="K2" s="699"/>
      <c r="L2" s="699"/>
      <c r="M2" s="699"/>
      <c r="N2" s="699"/>
    </row>
    <row r="3" spans="2:14">
      <c r="B3" s="699" t="s">
        <v>103</v>
      </c>
      <c r="C3" s="699"/>
      <c r="D3" s="699"/>
      <c r="E3" s="699"/>
      <c r="F3" s="699"/>
      <c r="G3" s="699"/>
      <c r="H3" s="699"/>
      <c r="I3" s="699"/>
      <c r="J3" s="699"/>
      <c r="K3" s="699"/>
      <c r="L3" s="699"/>
      <c r="M3" s="699"/>
      <c r="N3" s="699"/>
    </row>
    <row r="4" spans="2:14">
      <c r="B4" s="532"/>
      <c r="C4" s="532"/>
      <c r="D4" s="532"/>
      <c r="E4" s="532"/>
      <c r="F4" s="532"/>
      <c r="G4" s="532"/>
      <c r="H4" s="532"/>
      <c r="I4" s="532"/>
      <c r="J4" s="532"/>
      <c r="K4" s="532"/>
      <c r="L4" s="532"/>
      <c r="M4" s="532"/>
    </row>
    <row r="5" spans="2:14" ht="12.75" thickBot="1">
      <c r="B5" s="83"/>
      <c r="C5" s="84"/>
      <c r="D5" s="85"/>
      <c r="E5" s="84"/>
      <c r="F5" s="84"/>
      <c r="G5" s="85"/>
      <c r="H5" s="85"/>
      <c r="I5" s="85"/>
      <c r="J5" s="85"/>
      <c r="K5" s="86"/>
      <c r="L5" s="86"/>
      <c r="M5" s="86"/>
    </row>
    <row r="6" spans="2:14" ht="60">
      <c r="B6" s="177" t="s">
        <v>238</v>
      </c>
      <c r="C6" s="178"/>
      <c r="D6" s="179"/>
      <c r="E6" s="88" t="s">
        <v>104</v>
      </c>
      <c r="F6" s="88" t="s">
        <v>105</v>
      </c>
      <c r="G6" s="88" t="s">
        <v>314</v>
      </c>
      <c r="H6" s="88" t="s">
        <v>106</v>
      </c>
      <c r="I6" s="88" t="s">
        <v>107</v>
      </c>
      <c r="J6" s="88" t="s">
        <v>108</v>
      </c>
      <c r="K6" s="88" t="s">
        <v>109</v>
      </c>
      <c r="L6" s="88" t="s">
        <v>110</v>
      </c>
      <c r="M6" s="89" t="s">
        <v>111</v>
      </c>
    </row>
    <row r="7" spans="2:14">
      <c r="B7" s="695" t="s">
        <v>112</v>
      </c>
      <c r="C7" s="696"/>
      <c r="D7" s="182"/>
      <c r="E7" s="120">
        <v>1172</v>
      </c>
      <c r="F7" s="120">
        <v>257</v>
      </c>
      <c r="G7" s="120">
        <f>59+10</f>
        <v>69</v>
      </c>
      <c r="H7" s="120">
        <v>31</v>
      </c>
      <c r="I7" s="120">
        <v>7</v>
      </c>
      <c r="J7" s="120">
        <f>124-10</f>
        <v>114</v>
      </c>
      <c r="K7" s="120">
        <v>79</v>
      </c>
      <c r="L7" s="120">
        <v>102</v>
      </c>
      <c r="M7" s="183">
        <f>SUM(F7:L7)</f>
        <v>659</v>
      </c>
    </row>
    <row r="8" spans="2:14" ht="12" customHeight="1">
      <c r="B8" s="95"/>
      <c r="C8" s="96" t="s">
        <v>52</v>
      </c>
      <c r="D8" s="119" t="s">
        <v>114</v>
      </c>
      <c r="E8" s="126">
        <v>-585</v>
      </c>
      <c r="F8" s="126">
        <v>-119</v>
      </c>
      <c r="G8" s="132">
        <v>0</v>
      </c>
      <c r="H8" s="126">
        <v>-18</v>
      </c>
      <c r="I8" s="126">
        <v>-1</v>
      </c>
      <c r="J8" s="132">
        <v>0</v>
      </c>
      <c r="K8" s="132">
        <v>0</v>
      </c>
      <c r="L8" s="132">
        <v>0</v>
      </c>
      <c r="M8" s="184">
        <f>SUM(F8:L8)</f>
        <v>-138</v>
      </c>
    </row>
    <row r="9" spans="2:14">
      <c r="B9" s="95"/>
      <c r="C9" s="96" t="s">
        <v>53</v>
      </c>
      <c r="D9" s="119" t="s">
        <v>115</v>
      </c>
      <c r="E9" s="185">
        <v>0</v>
      </c>
      <c r="F9" s="132">
        <v>0</v>
      </c>
      <c r="G9" s="132">
        <v>0</v>
      </c>
      <c r="H9" s="132">
        <v>-3</v>
      </c>
      <c r="I9" s="132">
        <v>0</v>
      </c>
      <c r="J9" s="126">
        <v>-4</v>
      </c>
      <c r="K9" s="126">
        <v>-2</v>
      </c>
      <c r="L9" s="126">
        <v>-12</v>
      </c>
      <c r="M9" s="184">
        <f>SUM(F9:L9)</f>
        <v>-21</v>
      </c>
    </row>
    <row r="10" spans="2:14">
      <c r="B10" s="95"/>
      <c r="C10" s="96" t="s">
        <v>143</v>
      </c>
      <c r="D10" s="119" t="s">
        <v>116</v>
      </c>
      <c r="E10" s="132">
        <v>0</v>
      </c>
      <c r="F10" s="132">
        <v>0</v>
      </c>
      <c r="G10" s="132">
        <v>0</v>
      </c>
      <c r="H10" s="132">
        <v>0</v>
      </c>
      <c r="I10" s="126">
        <v>-3</v>
      </c>
      <c r="J10" s="132">
        <v>0</v>
      </c>
      <c r="K10" s="132">
        <v>0</v>
      </c>
      <c r="L10" s="132">
        <v>0</v>
      </c>
      <c r="M10" s="184">
        <f>SUM(F10:L10)</f>
        <v>-3</v>
      </c>
    </row>
    <row r="11" spans="2:14" ht="12.75" thickBot="1">
      <c r="B11" s="697" t="s">
        <v>118</v>
      </c>
      <c r="C11" s="698"/>
      <c r="D11" s="211"/>
      <c r="E11" s="138">
        <f t="shared" ref="E11:M11" si="0">SUM(E7:E10)</f>
        <v>587</v>
      </c>
      <c r="F11" s="138">
        <f t="shared" si="0"/>
        <v>138</v>
      </c>
      <c r="G11" s="138">
        <f t="shared" si="0"/>
        <v>69</v>
      </c>
      <c r="H11" s="138">
        <f t="shared" si="0"/>
        <v>10</v>
      </c>
      <c r="I11" s="138">
        <f t="shared" si="0"/>
        <v>3</v>
      </c>
      <c r="J11" s="138">
        <f t="shared" si="0"/>
        <v>110</v>
      </c>
      <c r="K11" s="138">
        <f t="shared" si="0"/>
        <v>77</v>
      </c>
      <c r="L11" s="138">
        <f t="shared" si="0"/>
        <v>90</v>
      </c>
      <c r="M11" s="189">
        <f t="shared" si="0"/>
        <v>497</v>
      </c>
    </row>
    <row r="12" spans="2:14" ht="5.25" customHeight="1" thickTop="1" thickBot="1">
      <c r="B12" s="105"/>
      <c r="C12" s="106"/>
      <c r="D12" s="107"/>
      <c r="E12" s="106"/>
      <c r="F12" s="108"/>
      <c r="G12" s="108"/>
      <c r="H12" s="108"/>
      <c r="I12" s="108"/>
      <c r="J12" s="108"/>
      <c r="K12" s="108"/>
      <c r="L12" s="108"/>
      <c r="M12" s="109"/>
    </row>
    <row r="13" spans="2:14" ht="12.75" customHeight="1" thickBot="1">
      <c r="B13" s="110"/>
      <c r="C13" s="111"/>
      <c r="D13" s="112"/>
      <c r="E13" s="111"/>
      <c r="F13" s="111"/>
      <c r="G13" s="111"/>
      <c r="H13" s="111"/>
      <c r="I13" s="111"/>
      <c r="J13" s="111"/>
      <c r="K13" s="111"/>
      <c r="L13" s="111"/>
      <c r="M13" s="111"/>
    </row>
    <row r="14" spans="2:14" ht="48">
      <c r="B14" s="196" t="str">
        <f>B6</f>
        <v>Three Months Ended March 31, 2012</v>
      </c>
      <c r="C14" s="197"/>
      <c r="D14" s="113"/>
      <c r="E14" s="114" t="s">
        <v>125</v>
      </c>
      <c r="F14" s="114" t="s">
        <v>126</v>
      </c>
      <c r="G14" s="441" t="s">
        <v>127</v>
      </c>
      <c r="H14" s="442" t="s">
        <v>128</v>
      </c>
      <c r="I14" s="116"/>
      <c r="J14" s="117"/>
      <c r="K14" s="118"/>
      <c r="L14" s="110"/>
      <c r="M14" s="110"/>
    </row>
    <row r="15" spans="2:14">
      <c r="B15" s="695" t="s">
        <v>112</v>
      </c>
      <c r="C15" s="696"/>
      <c r="D15" s="119"/>
      <c r="E15" s="120">
        <f>E7-M7</f>
        <v>513</v>
      </c>
      <c r="F15" s="311">
        <v>384</v>
      </c>
      <c r="G15" s="443">
        <v>0.34</v>
      </c>
      <c r="H15" s="444">
        <v>0.33</v>
      </c>
      <c r="I15" s="123"/>
      <c r="J15" s="124"/>
      <c r="K15" s="118"/>
      <c r="L15" s="110"/>
      <c r="M15" s="110"/>
      <c r="N15" s="110"/>
    </row>
    <row r="16" spans="2:14" ht="12" customHeight="1">
      <c r="B16" s="95"/>
      <c r="C16" s="96" t="s">
        <v>52</v>
      </c>
      <c r="D16" s="119" t="s">
        <v>114</v>
      </c>
      <c r="E16" s="125">
        <f>E8-M8</f>
        <v>-447</v>
      </c>
      <c r="F16" s="313">
        <v>-335</v>
      </c>
      <c r="G16" s="445">
        <v>-0.28999999999999998</v>
      </c>
      <c r="H16" s="446">
        <v>-0.28999999999999998</v>
      </c>
      <c r="I16" s="123"/>
      <c r="J16" s="123"/>
      <c r="K16" s="123"/>
      <c r="L16" s="123"/>
      <c r="M16" s="123"/>
      <c r="N16" s="130"/>
    </row>
    <row r="17" spans="2:14">
      <c r="B17" s="95"/>
      <c r="C17" s="96" t="s">
        <v>53</v>
      </c>
      <c r="D17" s="119" t="s">
        <v>115</v>
      </c>
      <c r="E17" s="125">
        <f>E9-M9</f>
        <v>21</v>
      </c>
      <c r="F17" s="313">
        <v>16</v>
      </c>
      <c r="G17" s="445">
        <v>0.01</v>
      </c>
      <c r="H17" s="446">
        <v>0.01</v>
      </c>
      <c r="I17" s="129"/>
      <c r="J17" s="129"/>
      <c r="K17" s="130"/>
      <c r="L17" s="130"/>
      <c r="M17" s="130"/>
      <c r="N17" s="130"/>
    </row>
    <row r="18" spans="2:14">
      <c r="B18" s="95"/>
      <c r="C18" s="96" t="s">
        <v>143</v>
      </c>
      <c r="D18" s="119" t="s">
        <v>116</v>
      </c>
      <c r="E18" s="125">
        <f>E10-M10</f>
        <v>3</v>
      </c>
      <c r="F18" s="313">
        <v>2</v>
      </c>
      <c r="G18" s="533">
        <v>0</v>
      </c>
      <c r="H18" s="446">
        <v>0</v>
      </c>
      <c r="I18" s="134"/>
      <c r="J18" s="134"/>
      <c r="K18" s="135"/>
      <c r="L18" s="130"/>
      <c r="M18" s="130"/>
      <c r="N18" s="130"/>
    </row>
    <row r="19" spans="2:14" ht="12.75" thickBot="1">
      <c r="B19" s="697" t="s">
        <v>118</v>
      </c>
      <c r="C19" s="698"/>
      <c r="D19" s="137"/>
      <c r="E19" s="138">
        <f>SUM(E15:E18)</f>
        <v>90</v>
      </c>
      <c r="F19" s="138">
        <f>SUM(F15:F18)</f>
        <v>67</v>
      </c>
      <c r="G19" s="450">
        <v>0.06</v>
      </c>
      <c r="H19" s="451">
        <v>0.06</v>
      </c>
      <c r="I19" s="141"/>
      <c r="J19" s="111"/>
      <c r="K19" s="111"/>
      <c r="L19" s="111"/>
      <c r="M19" s="111"/>
      <c r="N19" s="111"/>
    </row>
    <row r="20" spans="2:14" ht="5.25" customHeight="1" thickTop="1" thickBot="1">
      <c r="B20" s="142"/>
      <c r="C20" s="143"/>
      <c r="D20" s="144"/>
      <c r="E20" s="145"/>
      <c r="F20" s="145"/>
      <c r="G20" s="145"/>
      <c r="H20" s="146"/>
      <c r="I20" s="110"/>
      <c r="J20" s="111"/>
      <c r="K20" s="111"/>
      <c r="L20" s="111"/>
      <c r="M20" s="111"/>
      <c r="N20" s="111"/>
    </row>
    <row r="21" spans="2:14" ht="12.75" thickBot="1">
      <c r="B21" s="110"/>
      <c r="C21" s="110"/>
      <c r="D21" s="176"/>
      <c r="E21" s="110"/>
      <c r="F21" s="110"/>
      <c r="G21" s="110"/>
      <c r="H21" s="110"/>
      <c r="I21" s="110"/>
      <c r="J21" s="111"/>
      <c r="K21" s="111"/>
      <c r="L21" s="111"/>
      <c r="M21" s="111"/>
      <c r="N21" s="111"/>
    </row>
    <row r="22" spans="2:14" ht="60">
      <c r="B22" s="177" t="s">
        <v>241</v>
      </c>
      <c r="C22" s="178"/>
      <c r="D22" s="179"/>
      <c r="E22" s="88" t="s">
        <v>104</v>
      </c>
      <c r="F22" s="88" t="s">
        <v>105</v>
      </c>
      <c r="G22" s="88" t="s">
        <v>314</v>
      </c>
      <c r="H22" s="88" t="s">
        <v>106</v>
      </c>
      <c r="I22" s="88" t="s">
        <v>107</v>
      </c>
      <c r="J22" s="88" t="s">
        <v>108</v>
      </c>
      <c r="K22" s="88" t="s">
        <v>109</v>
      </c>
      <c r="L22" s="88" t="s">
        <v>110</v>
      </c>
      <c r="M22" s="89" t="s">
        <v>111</v>
      </c>
    </row>
    <row r="23" spans="2:14">
      <c r="B23" s="695" t="s">
        <v>112</v>
      </c>
      <c r="C23" s="696"/>
      <c r="D23" s="182"/>
      <c r="E23" s="120">
        <v>1075</v>
      </c>
      <c r="F23" s="120">
        <v>229</v>
      </c>
      <c r="G23" s="120">
        <f>64+7</f>
        <v>71</v>
      </c>
      <c r="H23" s="120">
        <v>57</v>
      </c>
      <c r="I23" s="120">
        <v>20</v>
      </c>
      <c r="J23" s="120">
        <f>152-7</f>
        <v>145</v>
      </c>
      <c r="K23" s="120">
        <v>136</v>
      </c>
      <c r="L23" s="120">
        <v>190</v>
      </c>
      <c r="M23" s="183">
        <f>SUM(F23:L23)</f>
        <v>848</v>
      </c>
    </row>
    <row r="24" spans="2:14" ht="12" customHeight="1">
      <c r="B24" s="95"/>
      <c r="C24" s="96" t="s">
        <v>52</v>
      </c>
      <c r="D24" s="119" t="s">
        <v>114</v>
      </c>
      <c r="E24" s="126">
        <v>-21</v>
      </c>
      <c r="F24" s="126">
        <v>-61</v>
      </c>
      <c r="G24" s="132">
        <v>0</v>
      </c>
      <c r="H24" s="132">
        <v>0</v>
      </c>
      <c r="I24" s="132">
        <v>0</v>
      </c>
      <c r="J24" s="132">
        <v>0</v>
      </c>
      <c r="K24" s="132">
        <v>0</v>
      </c>
      <c r="L24" s="132">
        <v>0</v>
      </c>
      <c r="M24" s="184">
        <f>SUM(F24:L24)</f>
        <v>-61</v>
      </c>
    </row>
    <row r="25" spans="2:14">
      <c r="B25" s="95"/>
      <c r="C25" s="96" t="s">
        <v>53</v>
      </c>
      <c r="D25" s="119" t="s">
        <v>115</v>
      </c>
      <c r="E25" s="185">
        <v>0</v>
      </c>
      <c r="F25" s="132">
        <v>0</v>
      </c>
      <c r="G25" s="132">
        <v>0</v>
      </c>
      <c r="H25" s="132">
        <v>-3</v>
      </c>
      <c r="I25" s="132">
        <v>0</v>
      </c>
      <c r="J25" s="126">
        <v>-5</v>
      </c>
      <c r="K25" s="126">
        <v>-1</v>
      </c>
      <c r="L25" s="126">
        <v>-22</v>
      </c>
      <c r="M25" s="184">
        <f>SUM(F25:L25)</f>
        <v>-31</v>
      </c>
    </row>
    <row r="26" spans="2:14">
      <c r="B26" s="95"/>
      <c r="C26" s="96" t="s">
        <v>143</v>
      </c>
      <c r="D26" s="119" t="s">
        <v>116</v>
      </c>
      <c r="E26" s="132">
        <v>0</v>
      </c>
      <c r="F26" s="132">
        <v>0</v>
      </c>
      <c r="G26" s="132">
        <v>0</v>
      </c>
      <c r="H26" s="132">
        <v>0</v>
      </c>
      <c r="I26" s="126">
        <v>-2</v>
      </c>
      <c r="J26" s="132">
        <v>0</v>
      </c>
      <c r="K26" s="132">
        <v>0</v>
      </c>
      <c r="L26" s="132">
        <v>0</v>
      </c>
      <c r="M26" s="184">
        <f>SUM(F26:L26)</f>
        <v>-2</v>
      </c>
    </row>
    <row r="27" spans="2:14" ht="12.75" thickBot="1">
      <c r="B27" s="697" t="s">
        <v>118</v>
      </c>
      <c r="C27" s="698"/>
      <c r="D27" s="211"/>
      <c r="E27" s="138">
        <f t="shared" ref="E27:M27" si="1">SUM(E23:E26)</f>
        <v>1054</v>
      </c>
      <c r="F27" s="138">
        <f t="shared" si="1"/>
        <v>168</v>
      </c>
      <c r="G27" s="138">
        <f t="shared" si="1"/>
        <v>71</v>
      </c>
      <c r="H27" s="138">
        <f t="shared" si="1"/>
        <v>54</v>
      </c>
      <c r="I27" s="138">
        <f t="shared" si="1"/>
        <v>18</v>
      </c>
      <c r="J27" s="138">
        <f t="shared" si="1"/>
        <v>140</v>
      </c>
      <c r="K27" s="138">
        <f t="shared" si="1"/>
        <v>135</v>
      </c>
      <c r="L27" s="138">
        <f t="shared" si="1"/>
        <v>168</v>
      </c>
      <c r="M27" s="189">
        <f t="shared" si="1"/>
        <v>754</v>
      </c>
    </row>
    <row r="28" spans="2:14" ht="5.25" customHeight="1" thickTop="1" thickBot="1">
      <c r="B28" s="105"/>
      <c r="C28" s="106"/>
      <c r="D28" s="107"/>
      <c r="E28" s="106"/>
      <c r="F28" s="108"/>
      <c r="G28" s="108"/>
      <c r="H28" s="108"/>
      <c r="I28" s="108"/>
      <c r="J28" s="108"/>
      <c r="K28" s="108"/>
      <c r="L28" s="108"/>
      <c r="M28" s="109"/>
    </row>
    <row r="29" spans="2:14" ht="12.75" customHeight="1" thickBot="1">
      <c r="B29" s="110"/>
      <c r="C29" s="111"/>
      <c r="D29" s="112"/>
      <c r="E29" s="111"/>
      <c r="F29" s="111"/>
      <c r="G29" s="111"/>
      <c r="H29" s="111"/>
      <c r="I29" s="111"/>
      <c r="J29" s="111"/>
      <c r="K29" s="111"/>
      <c r="L29" s="111"/>
      <c r="M29" s="111"/>
    </row>
    <row r="30" spans="2:14" ht="48">
      <c r="B30" s="196" t="str">
        <f>B22</f>
        <v>Three Months Ended June 30, 2012</v>
      </c>
      <c r="C30" s="197"/>
      <c r="D30" s="113"/>
      <c r="E30" s="114" t="s">
        <v>125</v>
      </c>
      <c r="F30" s="114" t="s">
        <v>126</v>
      </c>
      <c r="G30" s="441" t="s">
        <v>127</v>
      </c>
      <c r="H30" s="442" t="s">
        <v>128</v>
      </c>
      <c r="I30" s="116"/>
      <c r="J30" s="117"/>
      <c r="K30" s="118"/>
      <c r="L30" s="110"/>
      <c r="M30" s="110"/>
    </row>
    <row r="31" spans="2:14">
      <c r="B31" s="695" t="s">
        <v>112</v>
      </c>
      <c r="C31" s="696"/>
      <c r="D31" s="119"/>
      <c r="E31" s="120">
        <f>E23-M23</f>
        <v>227</v>
      </c>
      <c r="F31" s="311">
        <v>185</v>
      </c>
      <c r="G31" s="443">
        <v>0.16</v>
      </c>
      <c r="H31" s="444">
        <v>0.16</v>
      </c>
      <c r="I31" s="123"/>
      <c r="J31" s="124"/>
      <c r="K31" s="118"/>
      <c r="L31" s="110"/>
      <c r="M31" s="110"/>
      <c r="N31" s="110"/>
    </row>
    <row r="32" spans="2:14" ht="12" customHeight="1">
      <c r="B32" s="95"/>
      <c r="C32" s="96" t="s">
        <v>52</v>
      </c>
      <c r="D32" s="119" t="s">
        <v>114</v>
      </c>
      <c r="E32" s="125">
        <f>E24-M24</f>
        <v>40</v>
      </c>
      <c r="F32" s="313">
        <v>17</v>
      </c>
      <c r="G32" s="445">
        <v>0.02</v>
      </c>
      <c r="H32" s="446">
        <v>0.02</v>
      </c>
      <c r="I32" s="123"/>
      <c r="J32" s="123"/>
      <c r="K32" s="123"/>
      <c r="L32" s="123"/>
      <c r="M32" s="123"/>
      <c r="N32" s="130"/>
    </row>
    <row r="33" spans="2:14">
      <c r="B33" s="95"/>
      <c r="C33" s="96" t="s">
        <v>53</v>
      </c>
      <c r="D33" s="119" t="s">
        <v>115</v>
      </c>
      <c r="E33" s="125">
        <f>E25-M25</f>
        <v>31</v>
      </c>
      <c r="F33" s="313">
        <v>21</v>
      </c>
      <c r="G33" s="445">
        <v>0.02</v>
      </c>
      <c r="H33" s="536">
        <v>0.02</v>
      </c>
      <c r="I33" s="129"/>
      <c r="J33" s="129"/>
      <c r="K33" s="130"/>
      <c r="L33" s="130"/>
      <c r="M33" s="130"/>
      <c r="N33" s="130"/>
    </row>
    <row r="34" spans="2:14">
      <c r="B34" s="95"/>
      <c r="C34" s="96" t="s">
        <v>143</v>
      </c>
      <c r="D34" s="119" t="s">
        <v>116</v>
      </c>
      <c r="E34" s="125">
        <f>E26-M26</f>
        <v>2</v>
      </c>
      <c r="F34" s="313">
        <v>1</v>
      </c>
      <c r="G34" s="533">
        <v>0</v>
      </c>
      <c r="H34" s="446">
        <v>0</v>
      </c>
      <c r="I34" s="134"/>
      <c r="J34" s="134"/>
      <c r="K34" s="135"/>
      <c r="L34" s="130"/>
      <c r="M34" s="130"/>
      <c r="N34" s="130"/>
    </row>
    <row r="35" spans="2:14" ht="12.75" thickBot="1">
      <c r="B35" s="697" t="s">
        <v>118</v>
      </c>
      <c r="C35" s="698"/>
      <c r="D35" s="137"/>
      <c r="E35" s="138">
        <f>SUM(E31:E34)</f>
        <v>300</v>
      </c>
      <c r="F35" s="138">
        <f>SUM(F31:F34)</f>
        <v>224</v>
      </c>
      <c r="G35" s="450">
        <v>0.2</v>
      </c>
      <c r="H35" s="451">
        <v>0.2</v>
      </c>
      <c r="I35" s="141"/>
      <c r="J35" s="111"/>
      <c r="K35" s="111"/>
      <c r="L35" s="111"/>
      <c r="M35" s="111"/>
      <c r="N35" s="111"/>
    </row>
    <row r="36" spans="2:14" ht="5.25" customHeight="1" thickTop="1" thickBot="1">
      <c r="B36" s="142"/>
      <c r="C36" s="143"/>
      <c r="D36" s="144"/>
      <c r="E36" s="145"/>
      <c r="F36" s="145"/>
      <c r="G36" s="145"/>
      <c r="H36" s="146"/>
      <c r="I36" s="110"/>
      <c r="J36" s="111"/>
      <c r="K36" s="111"/>
      <c r="L36" s="111"/>
      <c r="M36" s="111"/>
      <c r="N36" s="111"/>
    </row>
    <row r="37" spans="2:14" ht="12.75" thickBot="1">
      <c r="B37" s="110"/>
      <c r="C37" s="110"/>
      <c r="D37" s="176"/>
      <c r="E37" s="110"/>
      <c r="F37" s="110"/>
      <c r="G37" s="110"/>
      <c r="H37" s="110"/>
      <c r="I37" s="110"/>
      <c r="J37" s="111"/>
      <c r="K37" s="111"/>
      <c r="L37" s="111"/>
      <c r="M37" s="111"/>
      <c r="N37" s="111"/>
    </row>
    <row r="38" spans="2:14" ht="60">
      <c r="B38" s="177" t="s">
        <v>242</v>
      </c>
      <c r="C38" s="178"/>
      <c r="D38" s="179"/>
      <c r="E38" s="88" t="s">
        <v>104</v>
      </c>
      <c r="F38" s="88" t="s">
        <v>105</v>
      </c>
      <c r="G38" s="88" t="s">
        <v>314</v>
      </c>
      <c r="H38" s="88" t="s">
        <v>106</v>
      </c>
      <c r="I38" s="88" t="s">
        <v>107</v>
      </c>
      <c r="J38" s="88" t="s">
        <v>108</v>
      </c>
      <c r="K38" s="88" t="s">
        <v>109</v>
      </c>
      <c r="L38" s="88" t="s">
        <v>110</v>
      </c>
      <c r="M38" s="89" t="s">
        <v>111</v>
      </c>
    </row>
    <row r="39" spans="2:14">
      <c r="B39" s="695" t="s">
        <v>112</v>
      </c>
      <c r="C39" s="696"/>
      <c r="D39" s="182"/>
      <c r="E39" s="120">
        <v>841</v>
      </c>
      <c r="F39" s="120">
        <v>146</v>
      </c>
      <c r="G39" s="120">
        <f>56+6</f>
        <v>62</v>
      </c>
      <c r="H39" s="120">
        <v>19</v>
      </c>
      <c r="I39" s="120">
        <v>10</v>
      </c>
      <c r="J39" s="120">
        <f>131-6</f>
        <v>125</v>
      </c>
      <c r="K39" s="120">
        <v>131</v>
      </c>
      <c r="L39" s="120">
        <v>121</v>
      </c>
      <c r="M39" s="183">
        <f>SUM(F39:L39)</f>
        <v>614</v>
      </c>
    </row>
    <row r="40" spans="2:14" ht="12" customHeight="1">
      <c r="B40" s="95"/>
      <c r="C40" s="96" t="s">
        <v>52</v>
      </c>
      <c r="D40" s="119" t="s">
        <v>114</v>
      </c>
      <c r="E40" s="126">
        <v>-90</v>
      </c>
      <c r="F40" s="126">
        <v>-5</v>
      </c>
      <c r="G40" s="132">
        <v>0</v>
      </c>
      <c r="H40" s="132">
        <v>23</v>
      </c>
      <c r="I40" s="132">
        <v>2</v>
      </c>
      <c r="J40" s="132">
        <v>0</v>
      </c>
      <c r="K40" s="132">
        <v>0</v>
      </c>
      <c r="L40" s="132">
        <v>0</v>
      </c>
      <c r="M40" s="184">
        <f>SUM(F40:L40)</f>
        <v>20</v>
      </c>
    </row>
    <row r="41" spans="2:14">
      <c r="B41" s="95"/>
      <c r="C41" s="96" t="s">
        <v>53</v>
      </c>
      <c r="D41" s="119" t="s">
        <v>115</v>
      </c>
      <c r="E41" s="185">
        <v>0</v>
      </c>
      <c r="F41" s="132">
        <v>0</v>
      </c>
      <c r="G41" s="132">
        <v>0</v>
      </c>
      <c r="H41" s="132">
        <v>-1</v>
      </c>
      <c r="I41" s="132">
        <v>0</v>
      </c>
      <c r="J41" s="126">
        <v>-5</v>
      </c>
      <c r="K41" s="126">
        <v>-2</v>
      </c>
      <c r="L41" s="126">
        <v>-26</v>
      </c>
      <c r="M41" s="184">
        <f>SUM(F41:L41)</f>
        <v>-34</v>
      </c>
    </row>
    <row r="42" spans="2:14">
      <c r="B42" s="95"/>
      <c r="C42" s="96" t="s">
        <v>143</v>
      </c>
      <c r="D42" s="119" t="s">
        <v>116</v>
      </c>
      <c r="E42" s="132">
        <v>0</v>
      </c>
      <c r="F42" s="132">
        <v>0</v>
      </c>
      <c r="G42" s="132">
        <v>0</v>
      </c>
      <c r="H42" s="132">
        <v>0</v>
      </c>
      <c r="I42" s="126">
        <v>-3</v>
      </c>
      <c r="J42" s="132">
        <v>0</v>
      </c>
      <c r="K42" s="132">
        <v>0</v>
      </c>
      <c r="L42" s="132">
        <v>0</v>
      </c>
      <c r="M42" s="184">
        <f>SUM(F42:L42)</f>
        <v>-3</v>
      </c>
    </row>
    <row r="43" spans="2:14" ht="12.75" thickBot="1">
      <c r="B43" s="697" t="s">
        <v>118</v>
      </c>
      <c r="C43" s="698"/>
      <c r="D43" s="211"/>
      <c r="E43" s="138">
        <f t="shared" ref="E43:M43" si="2">SUM(E39:E42)</f>
        <v>751</v>
      </c>
      <c r="F43" s="138">
        <f t="shared" si="2"/>
        <v>141</v>
      </c>
      <c r="G43" s="138">
        <f t="shared" si="2"/>
        <v>62</v>
      </c>
      <c r="H43" s="138">
        <f t="shared" si="2"/>
        <v>41</v>
      </c>
      <c r="I43" s="138">
        <f t="shared" si="2"/>
        <v>9</v>
      </c>
      <c r="J43" s="138">
        <f t="shared" si="2"/>
        <v>120</v>
      </c>
      <c r="K43" s="138">
        <f t="shared" si="2"/>
        <v>129</v>
      </c>
      <c r="L43" s="138">
        <f t="shared" si="2"/>
        <v>95</v>
      </c>
      <c r="M43" s="189">
        <f t="shared" si="2"/>
        <v>597</v>
      </c>
    </row>
    <row r="44" spans="2:14" ht="5.25" customHeight="1" thickTop="1" thickBot="1">
      <c r="B44" s="105"/>
      <c r="C44" s="106"/>
      <c r="D44" s="107"/>
      <c r="E44" s="106"/>
      <c r="F44" s="108"/>
      <c r="G44" s="108"/>
      <c r="H44" s="108"/>
      <c r="I44" s="108"/>
      <c r="J44" s="108"/>
      <c r="K44" s="108"/>
      <c r="L44" s="108"/>
      <c r="M44" s="109"/>
    </row>
    <row r="45" spans="2:14" ht="12.75" customHeight="1" thickBot="1">
      <c r="B45" s="110"/>
      <c r="C45" s="111"/>
      <c r="D45" s="112"/>
      <c r="E45" s="111"/>
      <c r="F45" s="111"/>
      <c r="G45" s="111"/>
      <c r="H45" s="111"/>
      <c r="I45" s="111"/>
      <c r="J45" s="111"/>
      <c r="K45" s="111"/>
      <c r="L45" s="111"/>
      <c r="M45" s="111"/>
    </row>
    <row r="46" spans="2:14" ht="48">
      <c r="B46" s="196" t="str">
        <f>B38</f>
        <v>Three Months Ended September 30, 2012</v>
      </c>
      <c r="C46" s="197"/>
      <c r="D46" s="113"/>
      <c r="E46" s="114" t="s">
        <v>125</v>
      </c>
      <c r="F46" s="114" t="s">
        <v>126</v>
      </c>
      <c r="G46" s="441" t="s">
        <v>127</v>
      </c>
      <c r="H46" s="442" t="s">
        <v>128</v>
      </c>
      <c r="I46" s="116"/>
      <c r="J46" s="117"/>
      <c r="K46" s="118"/>
      <c r="L46" s="110"/>
      <c r="M46" s="110"/>
    </row>
    <row r="47" spans="2:14">
      <c r="B47" s="695" t="s">
        <v>112</v>
      </c>
      <c r="C47" s="696"/>
      <c r="D47" s="119"/>
      <c r="E47" s="120">
        <f>E39-M39</f>
        <v>227</v>
      </c>
      <c r="F47" s="311">
        <v>226</v>
      </c>
      <c r="G47" s="443">
        <v>0.2</v>
      </c>
      <c r="H47" s="444">
        <v>0.2</v>
      </c>
      <c r="I47" s="123"/>
      <c r="J47" s="124"/>
      <c r="K47" s="118"/>
      <c r="L47" s="110"/>
      <c r="M47" s="110"/>
      <c r="N47" s="110"/>
    </row>
    <row r="48" spans="2:14" ht="12" customHeight="1">
      <c r="B48" s="95"/>
      <c r="C48" s="96" t="s">
        <v>52</v>
      </c>
      <c r="D48" s="119" t="s">
        <v>114</v>
      </c>
      <c r="E48" s="125">
        <f>E40-M40</f>
        <v>-110</v>
      </c>
      <c r="F48" s="313">
        <v>-83</v>
      </c>
      <c r="G48" s="445">
        <v>-7.0000000000000007E-2</v>
      </c>
      <c r="H48" s="446">
        <v>-7.0000000000000007E-2</v>
      </c>
      <c r="I48" s="123"/>
      <c r="J48" s="123"/>
      <c r="K48" s="123"/>
      <c r="L48" s="123"/>
      <c r="M48" s="123"/>
      <c r="N48" s="130"/>
    </row>
    <row r="49" spans="2:14">
      <c r="B49" s="95"/>
      <c r="C49" s="96" t="s">
        <v>53</v>
      </c>
      <c r="D49" s="119" t="s">
        <v>115</v>
      </c>
      <c r="E49" s="125">
        <f>E41-M41</f>
        <v>34</v>
      </c>
      <c r="F49" s="313">
        <v>23</v>
      </c>
      <c r="G49" s="445">
        <v>0.02</v>
      </c>
      <c r="H49" s="536">
        <v>0.02</v>
      </c>
      <c r="I49" s="129"/>
      <c r="J49" s="129"/>
      <c r="K49" s="130"/>
      <c r="L49" s="130"/>
      <c r="M49" s="130"/>
      <c r="N49" s="130"/>
    </row>
    <row r="50" spans="2:14">
      <c r="B50" s="95"/>
      <c r="C50" s="96" t="s">
        <v>143</v>
      </c>
      <c r="D50" s="119" t="s">
        <v>116</v>
      </c>
      <c r="E50" s="125">
        <f>E42-M42</f>
        <v>3</v>
      </c>
      <c r="F50" s="313">
        <v>2</v>
      </c>
      <c r="G50" s="533">
        <v>0</v>
      </c>
      <c r="H50" s="446">
        <v>0</v>
      </c>
      <c r="I50" s="134"/>
      <c r="J50" s="134"/>
      <c r="K50" s="135"/>
      <c r="L50" s="130"/>
      <c r="M50" s="130"/>
      <c r="N50" s="130"/>
    </row>
    <row r="51" spans="2:14" ht="12.75" thickBot="1">
      <c r="B51" s="697" t="s">
        <v>118</v>
      </c>
      <c r="C51" s="698"/>
      <c r="D51" s="137"/>
      <c r="E51" s="138">
        <f>SUM(E47:E50)</f>
        <v>154</v>
      </c>
      <c r="F51" s="138">
        <f>SUM(F47:F50)</f>
        <v>168</v>
      </c>
      <c r="G51" s="450">
        <v>0.15</v>
      </c>
      <c r="H51" s="451">
        <v>0.15</v>
      </c>
      <c r="I51" s="141"/>
      <c r="J51" s="111"/>
      <c r="K51" s="111"/>
      <c r="L51" s="111"/>
      <c r="M51" s="111"/>
      <c r="N51" s="111"/>
    </row>
    <row r="52" spans="2:14" ht="5.25" customHeight="1" thickTop="1" thickBot="1">
      <c r="B52" s="142"/>
      <c r="C52" s="143"/>
      <c r="D52" s="144"/>
      <c r="E52" s="145"/>
      <c r="F52" s="145"/>
      <c r="G52" s="145"/>
      <c r="H52" s="146"/>
      <c r="I52" s="110"/>
      <c r="J52" s="111"/>
      <c r="K52" s="111"/>
      <c r="L52" s="111"/>
      <c r="M52" s="111"/>
      <c r="N52" s="111"/>
    </row>
    <row r="53" spans="2:14" ht="12.75" thickBot="1">
      <c r="B53" s="110"/>
      <c r="C53" s="110"/>
      <c r="D53" s="176"/>
      <c r="E53" s="110"/>
      <c r="F53" s="110"/>
      <c r="G53" s="110"/>
      <c r="H53" s="110"/>
      <c r="I53" s="110"/>
      <c r="J53" s="111"/>
      <c r="K53" s="111"/>
      <c r="L53" s="111"/>
      <c r="M53" s="111"/>
      <c r="N53" s="111"/>
    </row>
    <row r="54" spans="2:14" ht="60">
      <c r="B54" s="177" t="s">
        <v>243</v>
      </c>
      <c r="C54" s="178"/>
      <c r="D54" s="179"/>
      <c r="E54" s="88" t="s">
        <v>104</v>
      </c>
      <c r="F54" s="88" t="s">
        <v>105</v>
      </c>
      <c r="G54" s="88" t="s">
        <v>314</v>
      </c>
      <c r="H54" s="88" t="s">
        <v>106</v>
      </c>
      <c r="I54" s="88" t="s">
        <v>107</v>
      </c>
      <c r="J54" s="88" t="s">
        <v>108</v>
      </c>
      <c r="K54" s="88" t="s">
        <v>109</v>
      </c>
      <c r="L54" s="88" t="s">
        <v>110</v>
      </c>
      <c r="M54" s="89" t="s">
        <v>111</v>
      </c>
    </row>
    <row r="55" spans="2:14">
      <c r="B55" s="695" t="s">
        <v>112</v>
      </c>
      <c r="C55" s="696"/>
      <c r="D55" s="182"/>
      <c r="E55" s="120">
        <v>1768</v>
      </c>
      <c r="F55" s="120">
        <v>483</v>
      </c>
      <c r="G55" s="120">
        <v>60</v>
      </c>
      <c r="H55" s="120">
        <v>87</v>
      </c>
      <c r="I55" s="120">
        <v>52</v>
      </c>
      <c r="J55" s="120">
        <v>222</v>
      </c>
      <c r="K55" s="120">
        <v>232</v>
      </c>
      <c r="L55" s="120">
        <v>148</v>
      </c>
      <c r="M55" s="183">
        <f>SUM(F55:L55)</f>
        <v>1284</v>
      </c>
    </row>
    <row r="56" spans="2:14" ht="12" customHeight="1">
      <c r="B56" s="95"/>
      <c r="C56" s="96" t="s">
        <v>52</v>
      </c>
      <c r="D56" s="119" t="s">
        <v>114</v>
      </c>
      <c r="E56" s="126">
        <v>827</v>
      </c>
      <c r="F56" s="126">
        <v>186</v>
      </c>
      <c r="G56" s="132">
        <v>0</v>
      </c>
      <c r="H56" s="132">
        <v>31</v>
      </c>
      <c r="I56" s="132">
        <v>3</v>
      </c>
      <c r="J56" s="132">
        <v>0</v>
      </c>
      <c r="K56" s="132">
        <v>0</v>
      </c>
      <c r="L56" s="132">
        <v>0</v>
      </c>
      <c r="M56" s="184">
        <f>SUM(F56:L56)</f>
        <v>220</v>
      </c>
    </row>
    <row r="57" spans="2:14">
      <c r="B57" s="95"/>
      <c r="C57" s="96" t="s">
        <v>53</v>
      </c>
      <c r="D57" s="119" t="s">
        <v>115</v>
      </c>
      <c r="E57" s="185">
        <v>0</v>
      </c>
      <c r="F57" s="132">
        <v>0</v>
      </c>
      <c r="G57" s="132">
        <v>0</v>
      </c>
      <c r="H57" s="132">
        <v>-3</v>
      </c>
      <c r="I57" s="132">
        <v>0</v>
      </c>
      <c r="J57" s="126">
        <v>-6</v>
      </c>
      <c r="K57" s="126">
        <v>-2</v>
      </c>
      <c r="L57" s="126">
        <v>-29</v>
      </c>
      <c r="M57" s="184">
        <f>SUM(F57:L57)</f>
        <v>-40</v>
      </c>
    </row>
    <row r="58" spans="2:14">
      <c r="B58" s="95"/>
      <c r="C58" s="96" t="s">
        <v>143</v>
      </c>
      <c r="D58" s="119" t="s">
        <v>116</v>
      </c>
      <c r="E58" s="132">
        <v>0</v>
      </c>
      <c r="F58" s="132">
        <v>0</v>
      </c>
      <c r="G58" s="132">
        <v>0</v>
      </c>
      <c r="H58" s="132">
        <v>0</v>
      </c>
      <c r="I58" s="126">
        <v>-23</v>
      </c>
      <c r="J58" s="132">
        <v>0</v>
      </c>
      <c r="K58" s="132">
        <v>0</v>
      </c>
      <c r="L58" s="132">
        <v>0</v>
      </c>
      <c r="M58" s="184">
        <f>SUM(F58:L58)</f>
        <v>-23</v>
      </c>
    </row>
    <row r="59" spans="2:14" ht="12.75" thickBot="1">
      <c r="B59" s="697" t="s">
        <v>118</v>
      </c>
      <c r="C59" s="698"/>
      <c r="D59" s="211"/>
      <c r="E59" s="138">
        <f t="shared" ref="E59:M59" si="3">SUM(E55:E58)</f>
        <v>2595</v>
      </c>
      <c r="F59" s="138">
        <f t="shared" si="3"/>
        <v>669</v>
      </c>
      <c r="G59" s="138">
        <f t="shared" si="3"/>
        <v>60</v>
      </c>
      <c r="H59" s="138">
        <f t="shared" si="3"/>
        <v>115</v>
      </c>
      <c r="I59" s="138">
        <f t="shared" si="3"/>
        <v>32</v>
      </c>
      <c r="J59" s="138">
        <f t="shared" si="3"/>
        <v>216</v>
      </c>
      <c r="K59" s="138">
        <f t="shared" si="3"/>
        <v>230</v>
      </c>
      <c r="L59" s="138">
        <f t="shared" si="3"/>
        <v>119</v>
      </c>
      <c r="M59" s="189">
        <f t="shared" si="3"/>
        <v>1441</v>
      </c>
    </row>
    <row r="60" spans="2:14" ht="5.25" customHeight="1" thickTop="1" thickBot="1">
      <c r="B60" s="105"/>
      <c r="C60" s="106"/>
      <c r="D60" s="107"/>
      <c r="E60" s="106"/>
      <c r="F60" s="108"/>
      <c r="G60" s="108"/>
      <c r="H60" s="108"/>
      <c r="I60" s="108"/>
      <c r="J60" s="108"/>
      <c r="K60" s="108"/>
      <c r="L60" s="108"/>
      <c r="M60" s="109"/>
    </row>
    <row r="61" spans="2:14" ht="12.75" customHeight="1" thickBot="1">
      <c r="B61" s="110"/>
      <c r="C61" s="111"/>
      <c r="D61" s="112"/>
      <c r="E61" s="111"/>
      <c r="F61" s="111"/>
      <c r="G61" s="111"/>
      <c r="H61" s="111"/>
      <c r="I61" s="111"/>
      <c r="J61" s="111"/>
      <c r="K61" s="111"/>
      <c r="L61" s="111"/>
      <c r="M61" s="111"/>
    </row>
    <row r="62" spans="2:14" ht="48">
      <c r="B62" s="196" t="str">
        <f>B54</f>
        <v>Three Months Ended December 31, 2012</v>
      </c>
      <c r="C62" s="197"/>
      <c r="D62" s="113"/>
      <c r="E62" s="114" t="s">
        <v>125</v>
      </c>
      <c r="F62" s="114" t="s">
        <v>126</v>
      </c>
      <c r="G62" s="441" t="s">
        <v>127</v>
      </c>
      <c r="H62" s="442" t="s">
        <v>128</v>
      </c>
      <c r="I62" s="116"/>
      <c r="J62" s="117"/>
      <c r="K62" s="118"/>
      <c r="L62" s="110"/>
      <c r="M62" s="110"/>
    </row>
    <row r="63" spans="2:14">
      <c r="B63" s="695" t="s">
        <v>112</v>
      </c>
      <c r="C63" s="696"/>
      <c r="D63" s="119"/>
      <c r="E63" s="120">
        <f>E55-M55</f>
        <v>484</v>
      </c>
      <c r="F63" s="311">
        <v>354</v>
      </c>
      <c r="G63" s="443">
        <v>0.31</v>
      </c>
      <c r="H63" s="444">
        <v>0.31</v>
      </c>
      <c r="I63" s="123"/>
      <c r="J63" s="124"/>
      <c r="K63" s="118"/>
      <c r="L63" s="110"/>
      <c r="M63" s="110"/>
      <c r="N63" s="110"/>
    </row>
    <row r="64" spans="2:14" ht="12" customHeight="1">
      <c r="B64" s="95"/>
      <c r="C64" s="96" t="s">
        <v>52</v>
      </c>
      <c r="D64" s="119" t="s">
        <v>114</v>
      </c>
      <c r="E64" s="125">
        <f>E56-M56</f>
        <v>607</v>
      </c>
      <c r="F64" s="313">
        <v>485</v>
      </c>
      <c r="G64" s="445">
        <v>0.43</v>
      </c>
      <c r="H64" s="446">
        <v>0.42</v>
      </c>
      <c r="I64" s="123"/>
      <c r="J64" s="123"/>
      <c r="K64" s="123"/>
      <c r="L64" s="123"/>
      <c r="M64" s="123"/>
      <c r="N64" s="130"/>
    </row>
    <row r="65" spans="2:14">
      <c r="B65" s="95"/>
      <c r="C65" s="96" t="s">
        <v>53</v>
      </c>
      <c r="D65" s="119" t="s">
        <v>115</v>
      </c>
      <c r="E65" s="125">
        <f>E57-M57</f>
        <v>40</v>
      </c>
      <c r="F65" s="313">
        <v>38</v>
      </c>
      <c r="G65" s="445">
        <v>0.03</v>
      </c>
      <c r="H65" s="536">
        <v>0.03</v>
      </c>
      <c r="I65" s="129"/>
      <c r="J65" s="129"/>
      <c r="K65" s="130"/>
      <c r="L65" s="130"/>
      <c r="M65" s="130"/>
      <c r="N65" s="130"/>
    </row>
    <row r="66" spans="2:14">
      <c r="B66" s="95"/>
      <c r="C66" s="96" t="s">
        <v>143</v>
      </c>
      <c r="D66" s="119" t="s">
        <v>116</v>
      </c>
      <c r="E66" s="125">
        <f>E58-M58</f>
        <v>23</v>
      </c>
      <c r="F66" s="313">
        <v>14</v>
      </c>
      <c r="G66" s="533">
        <v>0.01</v>
      </c>
      <c r="H66" s="446">
        <v>0.01</v>
      </c>
      <c r="I66" s="134"/>
      <c r="J66" s="134"/>
      <c r="K66" s="135"/>
      <c r="L66" s="130"/>
      <c r="M66" s="130"/>
      <c r="N66" s="130"/>
    </row>
    <row r="67" spans="2:14" ht="12.75" thickBot="1">
      <c r="B67" s="697" t="s">
        <v>118</v>
      </c>
      <c r="C67" s="698"/>
      <c r="D67" s="137"/>
      <c r="E67" s="138">
        <f>SUM(E63:E66)</f>
        <v>1154</v>
      </c>
      <c r="F67" s="138">
        <f>SUM(F63:F66)</f>
        <v>891</v>
      </c>
      <c r="G67" s="450">
        <v>0.78</v>
      </c>
      <c r="H67" s="451">
        <v>0.78</v>
      </c>
      <c r="I67" s="141"/>
      <c r="J67" s="111"/>
      <c r="K67" s="111"/>
      <c r="L67" s="111"/>
      <c r="M67" s="111"/>
      <c r="N67" s="111"/>
    </row>
    <row r="68" spans="2:14" ht="5.25" customHeight="1" thickTop="1" thickBot="1">
      <c r="B68" s="142"/>
      <c r="C68" s="143"/>
      <c r="D68" s="144"/>
      <c r="E68" s="145"/>
      <c r="F68" s="145"/>
      <c r="G68" s="145"/>
      <c r="H68" s="146"/>
      <c r="I68" s="110"/>
      <c r="J68" s="111"/>
      <c r="K68" s="111"/>
      <c r="L68" s="111"/>
      <c r="M68" s="111"/>
      <c r="N68" s="111"/>
    </row>
    <row r="69" spans="2:14">
      <c r="B69" s="110"/>
      <c r="C69" s="110"/>
      <c r="D69" s="176"/>
      <c r="E69" s="110"/>
      <c r="F69" s="110"/>
      <c r="G69" s="110"/>
      <c r="H69" s="110"/>
      <c r="I69" s="110"/>
      <c r="J69" s="111"/>
      <c r="K69" s="111"/>
      <c r="L69" s="111"/>
      <c r="M69" s="111"/>
      <c r="N69" s="111"/>
    </row>
    <row r="70" spans="2:14">
      <c r="B70" s="206"/>
      <c r="C70" s="700" t="s">
        <v>129</v>
      </c>
      <c r="D70" s="700"/>
      <c r="E70" s="700"/>
      <c r="F70" s="700"/>
      <c r="G70" s="700"/>
      <c r="H70" s="700"/>
      <c r="I70" s="700"/>
      <c r="J70" s="700"/>
      <c r="K70" s="700"/>
      <c r="L70" s="700"/>
      <c r="M70" s="700"/>
      <c r="N70" s="700"/>
    </row>
    <row r="71" spans="2:14">
      <c r="B71" s="206"/>
      <c r="C71" s="701" t="s">
        <v>130</v>
      </c>
      <c r="D71" s="701"/>
      <c r="E71" s="701"/>
      <c r="F71" s="701"/>
      <c r="G71" s="701"/>
      <c r="H71" s="701"/>
      <c r="I71" s="701"/>
      <c r="J71" s="701"/>
      <c r="K71" s="701"/>
      <c r="L71" s="701"/>
      <c r="M71" s="701"/>
      <c r="N71" s="701"/>
    </row>
    <row r="72" spans="2:14">
      <c r="B72" s="207"/>
      <c r="C72" s="700" t="s">
        <v>247</v>
      </c>
      <c r="D72" s="700"/>
      <c r="E72" s="700"/>
      <c r="F72" s="700"/>
      <c r="G72" s="700"/>
      <c r="H72" s="700"/>
      <c r="I72" s="700"/>
      <c r="J72" s="700"/>
      <c r="K72" s="700"/>
      <c r="L72" s="700"/>
      <c r="M72" s="700"/>
      <c r="N72" s="700"/>
    </row>
    <row r="73" spans="2:14">
      <c r="B73" s="207"/>
      <c r="C73" s="531"/>
      <c r="D73" s="213"/>
      <c r="E73" s="213"/>
      <c r="F73" s="213"/>
      <c r="G73" s="213"/>
      <c r="H73" s="213"/>
      <c r="I73" s="213"/>
      <c r="J73" s="213"/>
      <c r="K73" s="213"/>
      <c r="L73" s="213"/>
      <c r="M73" s="213"/>
      <c r="N73" s="213"/>
    </row>
    <row r="74" spans="2:14" ht="33.75" customHeight="1">
      <c r="B74" s="207"/>
      <c r="C74" s="702" t="s">
        <v>132</v>
      </c>
      <c r="D74" s="702"/>
      <c r="E74" s="702"/>
      <c r="F74" s="702"/>
      <c r="G74" s="702"/>
      <c r="H74" s="702"/>
      <c r="I74" s="702"/>
      <c r="J74" s="702"/>
      <c r="K74" s="702"/>
      <c r="L74" s="702"/>
      <c r="M74" s="702"/>
      <c r="N74" s="702"/>
    </row>
  </sheetData>
  <sheetProtection formatCells="0" formatColumns="0" formatRows="0" sort="0" autoFilter="0" pivotTables="0"/>
  <mergeCells count="23">
    <mergeCell ref="C74:N74"/>
    <mergeCell ref="B7:C7"/>
    <mergeCell ref="B11:C11"/>
    <mergeCell ref="B15:C15"/>
    <mergeCell ref="C71:N71"/>
    <mergeCell ref="C72:N72"/>
    <mergeCell ref="B39:C39"/>
    <mergeCell ref="B43:C43"/>
    <mergeCell ref="B47:C47"/>
    <mergeCell ref="B51:C51"/>
    <mergeCell ref="B1:N1"/>
    <mergeCell ref="B2:N2"/>
    <mergeCell ref="B3:N3"/>
    <mergeCell ref="B19:C19"/>
    <mergeCell ref="C70:N70"/>
    <mergeCell ref="B23:C23"/>
    <mergeCell ref="B27:C27"/>
    <mergeCell ref="B31:C31"/>
    <mergeCell ref="B35:C35"/>
    <mergeCell ref="B55:C55"/>
    <mergeCell ref="B59:C59"/>
    <mergeCell ref="B63:C63"/>
    <mergeCell ref="B67:C67"/>
  </mergeCells>
  <pageMargins left="0.7" right="0.7" top="0.25" bottom="0.44" header="0.3" footer="0.3"/>
  <pageSetup scale="48" orientation="landscape" r:id="rId1"/>
  <headerFooter>
    <oddFooter>&amp;LActivision Blizzard, Inc.&amp;R&amp;P of &amp; 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N86"/>
  <sheetViews>
    <sheetView showGridLines="0" view="pageBreakPreview" zoomScale="80" zoomScaleNormal="100" zoomScaleSheetLayoutView="80" workbookViewId="0"/>
  </sheetViews>
  <sheetFormatPr defaultColWidth="9.140625" defaultRowHeight="12"/>
  <cols>
    <col min="1" max="1" width="2.85546875" style="81" customWidth="1"/>
    <col min="2" max="2" width="1.42578125" style="81" customWidth="1"/>
    <col min="3" max="3" width="58.28515625" style="81" customWidth="1"/>
    <col min="4" max="4" width="2.85546875" style="81" customWidth="1"/>
    <col min="5" max="5" width="11" style="81" customWidth="1"/>
    <col min="6" max="6" width="8.5703125" style="81" customWidth="1"/>
    <col min="7" max="7" width="8.28515625" style="81" customWidth="1"/>
    <col min="8" max="8" width="12.140625" style="81" customWidth="1"/>
    <col min="9" max="9" width="9.85546875" style="81" customWidth="1"/>
    <col min="10" max="10" width="11.5703125" style="81" customWidth="1"/>
    <col min="11" max="11" width="9.140625" style="81" customWidth="1"/>
    <col min="12" max="12" width="12.7109375" style="81" customWidth="1"/>
    <col min="13" max="13" width="12.140625" style="81" customWidth="1"/>
    <col min="14" max="14" width="12.7109375" style="81" customWidth="1"/>
    <col min="15" max="16384" width="9.140625" style="81"/>
  </cols>
  <sheetData>
    <row r="1" spans="2:14">
      <c r="B1" s="699" t="s">
        <v>73</v>
      </c>
      <c r="C1" s="699"/>
      <c r="D1" s="699"/>
      <c r="E1" s="699"/>
      <c r="F1" s="699"/>
      <c r="G1" s="699"/>
      <c r="H1" s="699"/>
      <c r="I1" s="699"/>
      <c r="J1" s="699"/>
      <c r="K1" s="699"/>
      <c r="L1" s="699"/>
      <c r="M1" s="699"/>
      <c r="N1" s="699"/>
    </row>
    <row r="2" spans="2:14">
      <c r="B2" s="699" t="s">
        <v>251</v>
      </c>
      <c r="C2" s="699"/>
      <c r="D2" s="699"/>
      <c r="E2" s="699"/>
      <c r="F2" s="699"/>
      <c r="G2" s="699"/>
      <c r="H2" s="699"/>
      <c r="I2" s="699"/>
      <c r="J2" s="699"/>
      <c r="K2" s="699"/>
      <c r="L2" s="699"/>
      <c r="M2" s="699"/>
      <c r="N2" s="699"/>
    </row>
    <row r="3" spans="2:14">
      <c r="B3" s="699" t="s">
        <v>103</v>
      </c>
      <c r="C3" s="699"/>
      <c r="D3" s="699"/>
      <c r="E3" s="699"/>
      <c r="F3" s="699"/>
      <c r="G3" s="699"/>
      <c r="H3" s="699"/>
      <c r="I3" s="699"/>
      <c r="J3" s="699"/>
      <c r="K3" s="699"/>
      <c r="L3" s="699"/>
      <c r="M3" s="699"/>
      <c r="N3" s="699"/>
    </row>
    <row r="4" spans="2:14">
      <c r="B4" s="82"/>
      <c r="C4" s="82"/>
      <c r="D4" s="82"/>
      <c r="E4" s="82"/>
      <c r="F4" s="82"/>
      <c r="G4" s="82"/>
      <c r="H4" s="82"/>
      <c r="I4" s="82"/>
      <c r="J4" s="82"/>
      <c r="K4" s="82"/>
      <c r="L4" s="82"/>
      <c r="M4" s="82"/>
      <c r="N4" s="82"/>
    </row>
    <row r="5" spans="2:14" ht="12.75" thickBot="1">
      <c r="B5" s="83"/>
      <c r="C5" s="84"/>
      <c r="D5" s="85"/>
      <c r="E5" s="84"/>
      <c r="F5" s="84"/>
      <c r="G5" s="85"/>
      <c r="H5" s="85"/>
      <c r="I5" s="85"/>
      <c r="J5" s="85"/>
      <c r="K5" s="86"/>
      <c r="L5" s="86"/>
      <c r="M5" s="86"/>
      <c r="N5" s="86"/>
    </row>
    <row r="6" spans="2:14" ht="60">
      <c r="B6" s="177" t="s">
        <v>41</v>
      </c>
      <c r="C6" s="178"/>
      <c r="D6" s="179"/>
      <c r="E6" s="88" t="s">
        <v>104</v>
      </c>
      <c r="F6" s="88" t="s">
        <v>105</v>
      </c>
      <c r="G6" s="88" t="s">
        <v>314</v>
      </c>
      <c r="H6" s="88" t="s">
        <v>106</v>
      </c>
      <c r="I6" s="88" t="s">
        <v>107</v>
      </c>
      <c r="J6" s="88" t="s">
        <v>108</v>
      </c>
      <c r="K6" s="88" t="s">
        <v>109</v>
      </c>
      <c r="L6" s="88" t="s">
        <v>110</v>
      </c>
      <c r="M6" s="88" t="s">
        <v>50</v>
      </c>
      <c r="N6" s="89" t="s">
        <v>111</v>
      </c>
    </row>
    <row r="7" spans="2:14">
      <c r="B7" s="695" t="s">
        <v>112</v>
      </c>
      <c r="C7" s="696"/>
      <c r="D7" s="182"/>
      <c r="E7" s="120">
        <v>1449</v>
      </c>
      <c r="F7" s="120">
        <v>299</v>
      </c>
      <c r="G7" s="120">
        <f>63+3</f>
        <v>66</v>
      </c>
      <c r="H7" s="120">
        <v>61</v>
      </c>
      <c r="I7" s="120">
        <v>29</v>
      </c>
      <c r="J7" s="120">
        <f>142-3</f>
        <v>139</v>
      </c>
      <c r="K7" s="120">
        <f>64-4</f>
        <v>60</v>
      </c>
      <c r="L7" s="120">
        <f>98+4</f>
        <v>102</v>
      </c>
      <c r="M7" s="120">
        <v>19</v>
      </c>
      <c r="N7" s="183">
        <f>SUM(F7:M7)</f>
        <v>775</v>
      </c>
    </row>
    <row r="8" spans="2:14" ht="12" customHeight="1">
      <c r="B8" s="95"/>
      <c r="C8" s="96" t="s">
        <v>52</v>
      </c>
      <c r="D8" s="119" t="s">
        <v>114</v>
      </c>
      <c r="E8" s="126">
        <v>-694</v>
      </c>
      <c r="F8" s="126">
        <v>-132</v>
      </c>
      <c r="G8" s="132">
        <v>0</v>
      </c>
      <c r="H8" s="126">
        <v>-42</v>
      </c>
      <c r="I8" s="126">
        <v>-14</v>
      </c>
      <c r="J8" s="132">
        <v>0</v>
      </c>
      <c r="K8" s="132">
        <v>0</v>
      </c>
      <c r="L8" s="132">
        <v>0</v>
      </c>
      <c r="M8" s="132">
        <v>0</v>
      </c>
      <c r="N8" s="184">
        <f>SUM(F8:M8)</f>
        <v>-188</v>
      </c>
    </row>
    <row r="9" spans="2:14">
      <c r="B9" s="95"/>
      <c r="C9" s="96" t="s">
        <v>53</v>
      </c>
      <c r="D9" s="119" t="s">
        <v>115</v>
      </c>
      <c r="E9" s="185">
        <v>0</v>
      </c>
      <c r="F9" s="132">
        <v>0</v>
      </c>
      <c r="G9" s="132">
        <v>0</v>
      </c>
      <c r="H9" s="126">
        <v>-4</v>
      </c>
      <c r="I9" s="132">
        <v>0</v>
      </c>
      <c r="J9" s="126">
        <v>-6</v>
      </c>
      <c r="K9" s="126">
        <v>-1</v>
      </c>
      <c r="L9" s="126">
        <v>-12</v>
      </c>
      <c r="M9" s="132">
        <v>0</v>
      </c>
      <c r="N9" s="184">
        <f>SUM(F9:M9)</f>
        <v>-23</v>
      </c>
    </row>
    <row r="10" spans="2:14">
      <c r="B10" s="95"/>
      <c r="C10" s="96" t="s">
        <v>54</v>
      </c>
      <c r="D10" s="119" t="s">
        <v>116</v>
      </c>
      <c r="E10" s="132">
        <v>0</v>
      </c>
      <c r="F10" s="132">
        <v>0</v>
      </c>
      <c r="G10" s="132">
        <v>0</v>
      </c>
      <c r="H10" s="132">
        <v>0</v>
      </c>
      <c r="I10" s="132">
        <v>0</v>
      </c>
      <c r="J10" s="132">
        <v>0</v>
      </c>
      <c r="K10" s="132">
        <v>0</v>
      </c>
      <c r="L10" s="132">
        <v>0</v>
      </c>
      <c r="M10" s="132">
        <v>-19</v>
      </c>
      <c r="N10" s="184">
        <f>SUM(F10:M10)</f>
        <v>-19</v>
      </c>
    </row>
    <row r="11" spans="2:14">
      <c r="B11" s="95"/>
      <c r="C11" s="96" t="s">
        <v>143</v>
      </c>
      <c r="D11" s="119" t="s">
        <v>124</v>
      </c>
      <c r="E11" s="132">
        <v>0</v>
      </c>
      <c r="F11" s="132">
        <v>0</v>
      </c>
      <c r="G11" s="132">
        <v>0</v>
      </c>
      <c r="H11" s="132">
        <v>0</v>
      </c>
      <c r="I11" s="126">
        <v>-8</v>
      </c>
      <c r="J11" s="132">
        <v>0</v>
      </c>
      <c r="K11" s="132">
        <v>0</v>
      </c>
      <c r="L11" s="132">
        <v>0</v>
      </c>
      <c r="M11" s="132">
        <v>0</v>
      </c>
      <c r="N11" s="184">
        <f>SUM(F11:M11)</f>
        <v>-8</v>
      </c>
    </row>
    <row r="12" spans="2:14" ht="12.75" thickBot="1">
      <c r="B12" s="697" t="s">
        <v>118</v>
      </c>
      <c r="C12" s="698"/>
      <c r="D12" s="211"/>
      <c r="E12" s="138">
        <f t="shared" ref="E12:N12" si="0">SUM(E7:E11)</f>
        <v>755</v>
      </c>
      <c r="F12" s="138">
        <f t="shared" si="0"/>
        <v>167</v>
      </c>
      <c r="G12" s="138">
        <f t="shared" si="0"/>
        <v>66</v>
      </c>
      <c r="H12" s="138">
        <f t="shared" si="0"/>
        <v>15</v>
      </c>
      <c r="I12" s="138">
        <f t="shared" si="0"/>
        <v>7</v>
      </c>
      <c r="J12" s="138">
        <f t="shared" si="0"/>
        <v>133</v>
      </c>
      <c r="K12" s="138">
        <f t="shared" si="0"/>
        <v>59</v>
      </c>
      <c r="L12" s="138">
        <f t="shared" si="0"/>
        <v>90</v>
      </c>
      <c r="M12" s="138">
        <f t="shared" si="0"/>
        <v>0</v>
      </c>
      <c r="N12" s="189">
        <f t="shared" si="0"/>
        <v>537</v>
      </c>
    </row>
    <row r="13" spans="2:14" ht="5.25" customHeight="1" thickTop="1" thickBot="1">
      <c r="B13" s="105"/>
      <c r="C13" s="106"/>
      <c r="D13" s="107"/>
      <c r="E13" s="106"/>
      <c r="F13" s="108"/>
      <c r="G13" s="108"/>
      <c r="H13" s="108"/>
      <c r="I13" s="108"/>
      <c r="J13" s="108"/>
      <c r="K13" s="108"/>
      <c r="L13" s="108"/>
      <c r="M13" s="108"/>
      <c r="N13" s="109"/>
    </row>
    <row r="14" spans="2:14" ht="12.75" thickBot="1">
      <c r="B14" s="110"/>
      <c r="C14" s="111"/>
      <c r="D14" s="112"/>
      <c r="E14" s="111"/>
      <c r="F14" s="111"/>
      <c r="G14" s="111"/>
      <c r="H14" s="111"/>
      <c r="I14" s="111"/>
      <c r="J14" s="111"/>
      <c r="K14" s="111"/>
      <c r="L14" s="111"/>
      <c r="M14" s="111"/>
      <c r="N14" s="111"/>
    </row>
    <row r="15" spans="2:14" ht="60">
      <c r="B15" s="196" t="str">
        <f>B6</f>
        <v>Three Months Ended March 31, 2011</v>
      </c>
      <c r="C15" s="197"/>
      <c r="D15" s="113"/>
      <c r="E15" s="114" t="s">
        <v>125</v>
      </c>
      <c r="F15" s="114" t="s">
        <v>126</v>
      </c>
      <c r="G15" s="114" t="s">
        <v>121</v>
      </c>
      <c r="H15" s="115" t="s">
        <v>122</v>
      </c>
      <c r="I15" s="116"/>
      <c r="J15" s="117"/>
      <c r="K15" s="118"/>
      <c r="L15" s="110"/>
      <c r="M15" s="110"/>
      <c r="N15" s="110"/>
    </row>
    <row r="16" spans="2:14">
      <c r="B16" s="695" t="s">
        <v>112</v>
      </c>
      <c r="C16" s="696"/>
      <c r="D16" s="119"/>
      <c r="E16" s="120">
        <f>E7-N7</f>
        <v>674</v>
      </c>
      <c r="F16" s="120">
        <v>503</v>
      </c>
      <c r="G16" s="121">
        <v>0.42</v>
      </c>
      <c r="H16" s="122">
        <v>0.42</v>
      </c>
      <c r="I16" s="123"/>
      <c r="J16" s="124"/>
      <c r="K16" s="118"/>
      <c r="L16" s="110"/>
      <c r="M16" s="110"/>
      <c r="N16" s="110"/>
    </row>
    <row r="17" spans="2:14" ht="12" customHeight="1">
      <c r="B17" s="95"/>
      <c r="C17" s="96" t="s">
        <v>52</v>
      </c>
      <c r="D17" s="119" t="s">
        <v>114</v>
      </c>
      <c r="E17" s="125">
        <f>E8-N8</f>
        <v>-506</v>
      </c>
      <c r="F17" s="126">
        <v>-381</v>
      </c>
      <c r="G17" s="127">
        <v>-0.32</v>
      </c>
      <c r="H17" s="128">
        <v>-0.32</v>
      </c>
      <c r="I17" s="123"/>
      <c r="J17" s="123"/>
      <c r="K17" s="123"/>
      <c r="L17" s="123"/>
      <c r="M17" s="123"/>
      <c r="N17" s="130"/>
    </row>
    <row r="18" spans="2:14">
      <c r="B18" s="95"/>
      <c r="C18" s="96" t="s">
        <v>53</v>
      </c>
      <c r="D18" s="119" t="s">
        <v>115</v>
      </c>
      <c r="E18" s="125">
        <f>E9-N9</f>
        <v>23</v>
      </c>
      <c r="F18" s="126">
        <v>15</v>
      </c>
      <c r="G18" s="127">
        <v>0.01</v>
      </c>
      <c r="H18" s="128">
        <v>0.01</v>
      </c>
      <c r="I18" s="129"/>
      <c r="J18" s="129"/>
      <c r="K18" s="130"/>
      <c r="L18" s="130"/>
      <c r="M18" s="130"/>
      <c r="N18" s="130"/>
    </row>
    <row r="19" spans="2:14">
      <c r="B19" s="95"/>
      <c r="C19" s="96" t="s">
        <v>54</v>
      </c>
      <c r="D19" s="119" t="s">
        <v>116</v>
      </c>
      <c r="E19" s="125">
        <f>E10-N10</f>
        <v>19</v>
      </c>
      <c r="F19" s="126">
        <v>14</v>
      </c>
      <c r="G19" s="127">
        <v>0.01</v>
      </c>
      <c r="H19" s="128">
        <v>0.01</v>
      </c>
      <c r="I19" s="134"/>
      <c r="J19" s="134"/>
      <c r="K19" s="135"/>
      <c r="L19" s="130"/>
      <c r="M19" s="130"/>
      <c r="N19" s="130"/>
    </row>
    <row r="20" spans="2:14">
      <c r="B20" s="95"/>
      <c r="C20" s="96" t="s">
        <v>143</v>
      </c>
      <c r="D20" s="119" t="s">
        <v>124</v>
      </c>
      <c r="E20" s="125">
        <f>E11-N11</f>
        <v>8</v>
      </c>
      <c r="F20" s="126">
        <v>5</v>
      </c>
      <c r="G20" s="212">
        <v>0</v>
      </c>
      <c r="H20" s="133">
        <v>0</v>
      </c>
      <c r="I20" s="134"/>
      <c r="J20" s="134"/>
      <c r="K20" s="135"/>
      <c r="L20" s="130"/>
      <c r="M20" s="130"/>
      <c r="N20" s="130"/>
    </row>
    <row r="21" spans="2:14" ht="12.75" thickBot="1">
      <c r="B21" s="697" t="s">
        <v>118</v>
      </c>
      <c r="C21" s="698"/>
      <c r="D21" s="137"/>
      <c r="E21" s="138">
        <f>SUM(E16:E20)</f>
        <v>218</v>
      </c>
      <c r="F21" s="138">
        <f>SUM(F16:F20)</f>
        <v>156</v>
      </c>
      <c r="G21" s="139">
        <v>0.13</v>
      </c>
      <c r="H21" s="140">
        <v>0.13</v>
      </c>
      <c r="I21" s="141"/>
      <c r="J21" s="111"/>
      <c r="K21" s="111"/>
      <c r="L21" s="111"/>
      <c r="M21" s="111"/>
      <c r="N21" s="111"/>
    </row>
    <row r="22" spans="2:14" ht="5.25" customHeight="1" thickTop="1" thickBot="1">
      <c r="B22" s="142"/>
      <c r="C22" s="143"/>
      <c r="D22" s="144"/>
      <c r="E22" s="145"/>
      <c r="F22" s="145"/>
      <c r="G22" s="145"/>
      <c r="H22" s="146"/>
      <c r="I22" s="110"/>
      <c r="J22" s="111"/>
      <c r="K22" s="111"/>
      <c r="L22" s="111"/>
      <c r="M22" s="111"/>
      <c r="N22" s="111"/>
    </row>
    <row r="23" spans="2:14" ht="12.75" thickBot="1">
      <c r="B23" s="110"/>
      <c r="C23" s="110"/>
      <c r="D23" s="176"/>
      <c r="E23" s="110"/>
      <c r="F23" s="110"/>
      <c r="G23" s="110"/>
      <c r="H23" s="110"/>
      <c r="I23" s="110"/>
      <c r="J23" s="111"/>
      <c r="K23" s="111"/>
      <c r="L23" s="111"/>
      <c r="M23" s="111"/>
      <c r="N23" s="111"/>
    </row>
    <row r="24" spans="2:14" ht="60">
      <c r="B24" s="177" t="s">
        <v>207</v>
      </c>
      <c r="C24" s="178"/>
      <c r="D24" s="179"/>
      <c r="E24" s="88" t="s">
        <v>104</v>
      </c>
      <c r="F24" s="88" t="s">
        <v>105</v>
      </c>
      <c r="G24" s="88" t="s">
        <v>314</v>
      </c>
      <c r="H24" s="88" t="s">
        <v>106</v>
      </c>
      <c r="I24" s="88" t="s">
        <v>107</v>
      </c>
      <c r="J24" s="88" t="s">
        <v>108</v>
      </c>
      <c r="K24" s="88" t="s">
        <v>109</v>
      </c>
      <c r="L24" s="88" t="s">
        <v>110</v>
      </c>
      <c r="M24" s="88" t="s">
        <v>50</v>
      </c>
      <c r="N24" s="89" t="s">
        <v>111</v>
      </c>
    </row>
    <row r="25" spans="2:14">
      <c r="B25" s="695" t="s">
        <v>112</v>
      </c>
      <c r="C25" s="696"/>
      <c r="D25" s="182"/>
      <c r="E25" s="120">
        <v>1146</v>
      </c>
      <c r="F25" s="120">
        <v>213</v>
      </c>
      <c r="G25" s="120">
        <f>59+3</f>
        <v>62</v>
      </c>
      <c r="H25" s="120">
        <v>47</v>
      </c>
      <c r="I25" s="120">
        <v>24</v>
      </c>
      <c r="J25" s="120">
        <f>116-3</f>
        <v>113</v>
      </c>
      <c r="K25" s="120">
        <v>90</v>
      </c>
      <c r="L25" s="120">
        <v>127</v>
      </c>
      <c r="M25" s="120">
        <v>3</v>
      </c>
      <c r="N25" s="183">
        <f>SUM(F25:M25)</f>
        <v>679</v>
      </c>
    </row>
    <row r="26" spans="2:14" ht="12" customHeight="1">
      <c r="B26" s="95"/>
      <c r="C26" s="96" t="s">
        <v>52</v>
      </c>
      <c r="D26" s="119" t="s">
        <v>114</v>
      </c>
      <c r="E26" s="126">
        <v>-447</v>
      </c>
      <c r="F26" s="126">
        <v>-78</v>
      </c>
      <c r="G26" s="132">
        <v>0</v>
      </c>
      <c r="H26" s="126">
        <v>-32</v>
      </c>
      <c r="I26" s="126">
        <v>-5</v>
      </c>
      <c r="J26" s="132">
        <v>0</v>
      </c>
      <c r="K26" s="132">
        <v>0</v>
      </c>
      <c r="L26" s="132">
        <v>0</v>
      </c>
      <c r="M26" s="132">
        <v>0</v>
      </c>
      <c r="N26" s="184">
        <f>SUM(F26:M26)</f>
        <v>-115</v>
      </c>
    </row>
    <row r="27" spans="2:14">
      <c r="B27" s="95"/>
      <c r="C27" s="96" t="s">
        <v>53</v>
      </c>
      <c r="D27" s="119" t="s">
        <v>115</v>
      </c>
      <c r="E27" s="185">
        <v>0</v>
      </c>
      <c r="F27" s="132">
        <v>0</v>
      </c>
      <c r="G27" s="132">
        <v>0</v>
      </c>
      <c r="H27" s="126">
        <v>-3</v>
      </c>
      <c r="I27" s="132">
        <v>0</v>
      </c>
      <c r="J27" s="126">
        <v>-5</v>
      </c>
      <c r="K27" s="126">
        <v>-1</v>
      </c>
      <c r="L27" s="126">
        <v>-11</v>
      </c>
      <c r="M27" s="132">
        <v>0</v>
      </c>
      <c r="N27" s="184">
        <f>SUM(F27:M27)</f>
        <v>-20</v>
      </c>
    </row>
    <row r="28" spans="2:14">
      <c r="B28" s="95"/>
      <c r="C28" s="96" t="s">
        <v>54</v>
      </c>
      <c r="D28" s="119" t="s">
        <v>116</v>
      </c>
      <c r="E28" s="132">
        <v>0</v>
      </c>
      <c r="F28" s="132">
        <v>0</v>
      </c>
      <c r="G28" s="132">
        <v>0</v>
      </c>
      <c r="H28" s="132">
        <v>0</v>
      </c>
      <c r="I28" s="132">
        <v>0</v>
      </c>
      <c r="J28" s="132">
        <v>0</v>
      </c>
      <c r="K28" s="132">
        <v>0</v>
      </c>
      <c r="L28" s="132">
        <v>0</v>
      </c>
      <c r="M28" s="132">
        <v>-3</v>
      </c>
      <c r="N28" s="184">
        <f>SUM(F28:M28)</f>
        <v>-3</v>
      </c>
    </row>
    <row r="29" spans="2:14">
      <c r="B29" s="95"/>
      <c r="C29" s="96" t="s">
        <v>143</v>
      </c>
      <c r="D29" s="119" t="s">
        <v>124</v>
      </c>
      <c r="E29" s="132">
        <v>0</v>
      </c>
      <c r="F29" s="132">
        <v>0</v>
      </c>
      <c r="G29" s="132">
        <v>0</v>
      </c>
      <c r="H29" s="132">
        <v>0</v>
      </c>
      <c r="I29" s="126">
        <v>-7</v>
      </c>
      <c r="J29" s="132">
        <v>0</v>
      </c>
      <c r="K29" s="132">
        <v>0</v>
      </c>
      <c r="L29" s="132">
        <v>0</v>
      </c>
      <c r="M29" s="132">
        <v>0</v>
      </c>
      <c r="N29" s="184">
        <f>SUM(F29:M29)</f>
        <v>-7</v>
      </c>
    </row>
    <row r="30" spans="2:14" ht="12.75" thickBot="1">
      <c r="B30" s="697" t="s">
        <v>118</v>
      </c>
      <c r="C30" s="698"/>
      <c r="D30" s="211"/>
      <c r="E30" s="138">
        <f t="shared" ref="E30:N30" si="1">SUM(E25:E29)</f>
        <v>699</v>
      </c>
      <c r="F30" s="138">
        <f t="shared" si="1"/>
        <v>135</v>
      </c>
      <c r="G30" s="138">
        <f t="shared" si="1"/>
        <v>62</v>
      </c>
      <c r="H30" s="138">
        <f t="shared" si="1"/>
        <v>12</v>
      </c>
      <c r="I30" s="138">
        <f t="shared" si="1"/>
        <v>12</v>
      </c>
      <c r="J30" s="138">
        <f t="shared" si="1"/>
        <v>108</v>
      </c>
      <c r="K30" s="138">
        <f t="shared" si="1"/>
        <v>89</v>
      </c>
      <c r="L30" s="138">
        <f t="shared" si="1"/>
        <v>116</v>
      </c>
      <c r="M30" s="138">
        <f t="shared" si="1"/>
        <v>0</v>
      </c>
      <c r="N30" s="189">
        <f t="shared" si="1"/>
        <v>534</v>
      </c>
    </row>
    <row r="31" spans="2:14" ht="5.25" customHeight="1" thickTop="1" thickBot="1">
      <c r="B31" s="105"/>
      <c r="C31" s="106"/>
      <c r="D31" s="107"/>
      <c r="E31" s="106"/>
      <c r="F31" s="108"/>
      <c r="G31" s="108"/>
      <c r="H31" s="108"/>
      <c r="I31" s="108"/>
      <c r="J31" s="108"/>
      <c r="K31" s="108"/>
      <c r="L31" s="108"/>
      <c r="M31" s="108"/>
      <c r="N31" s="109"/>
    </row>
    <row r="32" spans="2:14" ht="12.75" customHeight="1" thickBot="1">
      <c r="B32" s="110"/>
      <c r="C32" s="111"/>
      <c r="D32" s="112"/>
      <c r="E32" s="111"/>
      <c r="F32" s="111"/>
      <c r="G32" s="111"/>
      <c r="H32" s="111"/>
      <c r="I32" s="111"/>
      <c r="J32" s="111"/>
      <c r="K32" s="111"/>
      <c r="L32" s="111"/>
      <c r="M32" s="111"/>
      <c r="N32" s="111"/>
    </row>
    <row r="33" spans="2:14" ht="60">
      <c r="B33" s="196" t="str">
        <f>B24</f>
        <v>Three Months Ended June 30, 2011</v>
      </c>
      <c r="C33" s="197"/>
      <c r="D33" s="113"/>
      <c r="E33" s="114" t="s">
        <v>125</v>
      </c>
      <c r="F33" s="114" t="s">
        <v>126</v>
      </c>
      <c r="G33" s="441" t="s">
        <v>121</v>
      </c>
      <c r="H33" s="442" t="s">
        <v>122</v>
      </c>
      <c r="I33" s="116"/>
      <c r="J33" s="117"/>
      <c r="K33" s="118"/>
      <c r="L33" s="110"/>
      <c r="M33" s="110"/>
      <c r="N33" s="110"/>
    </row>
    <row r="34" spans="2:14">
      <c r="B34" s="695" t="s">
        <v>112</v>
      </c>
      <c r="C34" s="696"/>
      <c r="D34" s="119"/>
      <c r="E34" s="120">
        <f>E25-N25</f>
        <v>467</v>
      </c>
      <c r="F34" s="311">
        <v>335</v>
      </c>
      <c r="G34" s="443">
        <v>0.28999999999999998</v>
      </c>
      <c r="H34" s="444">
        <v>0.28999999999999998</v>
      </c>
      <c r="I34" s="123"/>
      <c r="J34" s="124"/>
      <c r="K34" s="118"/>
      <c r="L34" s="110"/>
      <c r="M34" s="110"/>
      <c r="N34" s="110"/>
    </row>
    <row r="35" spans="2:14" ht="12" customHeight="1">
      <c r="B35" s="95"/>
      <c r="C35" s="96" t="s">
        <v>52</v>
      </c>
      <c r="D35" s="119" t="s">
        <v>114</v>
      </c>
      <c r="E35" s="125">
        <v>-332</v>
      </c>
      <c r="F35" s="313">
        <v>-238</v>
      </c>
      <c r="G35" s="445">
        <v>-0.21</v>
      </c>
      <c r="H35" s="446">
        <v>-0.2</v>
      </c>
      <c r="I35" s="123"/>
      <c r="J35" s="123"/>
      <c r="K35" s="123"/>
      <c r="L35" s="123"/>
      <c r="M35" s="123"/>
      <c r="N35" s="130"/>
    </row>
    <row r="36" spans="2:14">
      <c r="B36" s="95"/>
      <c r="C36" s="96" t="s">
        <v>53</v>
      </c>
      <c r="D36" s="119" t="s">
        <v>115</v>
      </c>
      <c r="E36" s="125">
        <f>E27-N27</f>
        <v>20</v>
      </c>
      <c r="F36" s="313">
        <v>15</v>
      </c>
      <c r="G36" s="445">
        <v>0.01</v>
      </c>
      <c r="H36" s="446">
        <v>0.01</v>
      </c>
      <c r="I36" s="129"/>
      <c r="J36" s="129"/>
      <c r="K36" s="130"/>
      <c r="L36" s="130"/>
      <c r="M36" s="130"/>
      <c r="N36" s="130"/>
    </row>
    <row r="37" spans="2:14">
      <c r="B37" s="95"/>
      <c r="C37" s="96" t="s">
        <v>54</v>
      </c>
      <c r="D37" s="119" t="s">
        <v>116</v>
      </c>
      <c r="E37" s="125">
        <f>E28-N28</f>
        <v>3</v>
      </c>
      <c r="F37" s="313">
        <v>2</v>
      </c>
      <c r="G37" s="447">
        <v>0</v>
      </c>
      <c r="H37" s="448">
        <v>0</v>
      </c>
      <c r="I37" s="134"/>
      <c r="J37" s="134"/>
      <c r="K37" s="135"/>
      <c r="L37" s="130"/>
      <c r="M37" s="130"/>
      <c r="N37" s="130"/>
    </row>
    <row r="38" spans="2:14">
      <c r="B38" s="95"/>
      <c r="C38" s="96" t="s">
        <v>143</v>
      </c>
      <c r="D38" s="119" t="s">
        <v>124</v>
      </c>
      <c r="E38" s="125">
        <f>E29-N29</f>
        <v>7</v>
      </c>
      <c r="F38" s="313">
        <v>4</v>
      </c>
      <c r="G38" s="449">
        <v>0</v>
      </c>
      <c r="H38" s="448">
        <v>0</v>
      </c>
      <c r="I38" s="134"/>
      <c r="J38" s="134"/>
      <c r="K38" s="135"/>
      <c r="L38" s="130"/>
      <c r="M38" s="130"/>
      <c r="N38" s="130"/>
    </row>
    <row r="39" spans="2:14" ht="12.75" thickBot="1">
      <c r="B39" s="697" t="s">
        <v>118</v>
      </c>
      <c r="C39" s="698"/>
      <c r="D39" s="137"/>
      <c r="E39" s="138">
        <f>SUM(E34:E38)</f>
        <v>165</v>
      </c>
      <c r="F39" s="138">
        <f>SUM(F34:F38)</f>
        <v>118</v>
      </c>
      <c r="G39" s="450">
        <v>0.1</v>
      </c>
      <c r="H39" s="451">
        <v>0.1</v>
      </c>
      <c r="I39" s="141"/>
      <c r="J39" s="111"/>
      <c r="K39" s="111"/>
      <c r="L39" s="111"/>
      <c r="M39" s="111"/>
      <c r="N39" s="111"/>
    </row>
    <row r="40" spans="2:14" ht="5.25" customHeight="1" thickTop="1" thickBot="1">
      <c r="B40" s="142"/>
      <c r="C40" s="143"/>
      <c r="D40" s="144"/>
      <c r="E40" s="145"/>
      <c r="F40" s="145"/>
      <c r="G40" s="145"/>
      <c r="H40" s="146"/>
      <c r="I40" s="110"/>
      <c r="J40" s="111"/>
      <c r="K40" s="111"/>
      <c r="L40" s="111"/>
      <c r="M40" s="111"/>
      <c r="N40" s="111"/>
    </row>
    <row r="41" spans="2:14" ht="12.75" customHeight="1" thickBot="1">
      <c r="B41" s="110"/>
      <c r="C41" s="110"/>
      <c r="D41" s="176"/>
      <c r="E41" s="110"/>
      <c r="F41" s="110"/>
      <c r="G41" s="110"/>
      <c r="H41" s="110"/>
      <c r="I41" s="110"/>
      <c r="J41" s="111"/>
      <c r="K41" s="111"/>
      <c r="L41" s="111"/>
      <c r="M41" s="111"/>
      <c r="N41" s="111"/>
    </row>
    <row r="42" spans="2:14" ht="60">
      <c r="B42" s="177" t="s">
        <v>220</v>
      </c>
      <c r="C42" s="178"/>
      <c r="D42" s="179"/>
      <c r="E42" s="88" t="s">
        <v>104</v>
      </c>
      <c r="F42" s="88" t="s">
        <v>105</v>
      </c>
      <c r="G42" s="88" t="s">
        <v>314</v>
      </c>
      <c r="H42" s="88" t="s">
        <v>106</v>
      </c>
      <c r="I42" s="88" t="s">
        <v>107</v>
      </c>
      <c r="J42" s="88" t="s">
        <v>108</v>
      </c>
      <c r="K42" s="88" t="s">
        <v>109</v>
      </c>
      <c r="L42" s="88" t="s">
        <v>110</v>
      </c>
      <c r="M42" s="88" t="s">
        <v>50</v>
      </c>
      <c r="N42" s="89" t="s">
        <v>111</v>
      </c>
    </row>
    <row r="43" spans="2:14">
      <c r="B43" s="695" t="s">
        <v>112</v>
      </c>
      <c r="C43" s="696"/>
      <c r="D43" s="182"/>
      <c r="E43" s="120">
        <v>754</v>
      </c>
      <c r="F43" s="120">
        <v>138</v>
      </c>
      <c r="G43" s="120">
        <f>59+4</f>
        <v>63</v>
      </c>
      <c r="H43" s="120">
        <v>24</v>
      </c>
      <c r="I43" s="120">
        <v>16</v>
      </c>
      <c r="J43" s="120">
        <f>133-4</f>
        <v>129</v>
      </c>
      <c r="K43" s="120">
        <v>115</v>
      </c>
      <c r="L43" s="120">
        <v>104</v>
      </c>
      <c r="M43" s="120">
        <v>3</v>
      </c>
      <c r="N43" s="183">
        <f>SUM(F43:M43)</f>
        <v>592</v>
      </c>
    </row>
    <row r="44" spans="2:14" ht="12" customHeight="1">
      <c r="B44" s="95"/>
      <c r="C44" s="96" t="s">
        <v>52</v>
      </c>
      <c r="D44" s="119" t="s">
        <v>114</v>
      </c>
      <c r="E44" s="126">
        <v>-127</v>
      </c>
      <c r="F44" s="126">
        <v>-10</v>
      </c>
      <c r="G44" s="132">
        <v>0</v>
      </c>
      <c r="H44" s="126">
        <v>-10</v>
      </c>
      <c r="I44" s="126">
        <v>-2</v>
      </c>
      <c r="J44" s="132">
        <v>0</v>
      </c>
      <c r="K44" s="132">
        <v>0</v>
      </c>
      <c r="L44" s="132">
        <v>0</v>
      </c>
      <c r="M44" s="132">
        <v>0</v>
      </c>
      <c r="N44" s="184">
        <f>SUM(F44:M44)</f>
        <v>-22</v>
      </c>
    </row>
    <row r="45" spans="2:14">
      <c r="B45" s="95"/>
      <c r="C45" s="96" t="s">
        <v>53</v>
      </c>
      <c r="D45" s="119" t="s">
        <v>115</v>
      </c>
      <c r="E45" s="185">
        <v>0</v>
      </c>
      <c r="F45" s="132">
        <v>0</v>
      </c>
      <c r="G45" s="132">
        <v>0</v>
      </c>
      <c r="H45" s="132">
        <v>0</v>
      </c>
      <c r="I45" s="132">
        <v>0</v>
      </c>
      <c r="J45" s="126">
        <v>-5</v>
      </c>
      <c r="K45" s="126">
        <v>-2</v>
      </c>
      <c r="L45" s="126">
        <v>-11</v>
      </c>
      <c r="M45" s="132">
        <v>0</v>
      </c>
      <c r="N45" s="184">
        <f>SUM(F45:M45)</f>
        <v>-18</v>
      </c>
    </row>
    <row r="46" spans="2:14">
      <c r="B46" s="95"/>
      <c r="C46" s="96" t="s">
        <v>54</v>
      </c>
      <c r="D46" s="119" t="s">
        <v>116</v>
      </c>
      <c r="E46" s="132">
        <v>0</v>
      </c>
      <c r="F46" s="132">
        <v>0</v>
      </c>
      <c r="G46" s="132">
        <v>0</v>
      </c>
      <c r="H46" s="132">
        <v>0</v>
      </c>
      <c r="I46" s="132">
        <v>0</v>
      </c>
      <c r="J46" s="132">
        <v>0</v>
      </c>
      <c r="K46" s="132">
        <v>0</v>
      </c>
      <c r="L46" s="132">
        <v>0</v>
      </c>
      <c r="M46" s="132">
        <v>-3</v>
      </c>
      <c r="N46" s="184">
        <f>SUM(F46:M46)</f>
        <v>-3</v>
      </c>
    </row>
    <row r="47" spans="2:14">
      <c r="B47" s="95"/>
      <c r="C47" s="96" t="s">
        <v>143</v>
      </c>
      <c r="D47" s="119" t="s">
        <v>124</v>
      </c>
      <c r="E47" s="132">
        <v>0</v>
      </c>
      <c r="F47" s="132">
        <v>0</v>
      </c>
      <c r="G47" s="132">
        <v>0</v>
      </c>
      <c r="H47" s="132">
        <v>0</v>
      </c>
      <c r="I47" s="126">
        <v>-7</v>
      </c>
      <c r="J47" s="132">
        <v>0</v>
      </c>
      <c r="K47" s="132">
        <v>0</v>
      </c>
      <c r="L47" s="132">
        <v>0</v>
      </c>
      <c r="M47" s="132">
        <v>0</v>
      </c>
      <c r="N47" s="184">
        <f>SUM(F47:M47)</f>
        <v>-7</v>
      </c>
    </row>
    <row r="48" spans="2:14" ht="12.75" thickBot="1">
      <c r="B48" s="697" t="s">
        <v>118</v>
      </c>
      <c r="C48" s="698"/>
      <c r="D48" s="211"/>
      <c r="E48" s="138">
        <f t="shared" ref="E48:N48" si="2">SUM(E43:E47)</f>
        <v>627</v>
      </c>
      <c r="F48" s="138">
        <f t="shared" si="2"/>
        <v>128</v>
      </c>
      <c r="G48" s="138">
        <f t="shared" si="2"/>
        <v>63</v>
      </c>
      <c r="H48" s="138">
        <f t="shared" si="2"/>
        <v>14</v>
      </c>
      <c r="I48" s="138">
        <f t="shared" si="2"/>
        <v>7</v>
      </c>
      <c r="J48" s="138">
        <f t="shared" si="2"/>
        <v>124</v>
      </c>
      <c r="K48" s="138">
        <f t="shared" si="2"/>
        <v>113</v>
      </c>
      <c r="L48" s="138">
        <f t="shared" si="2"/>
        <v>93</v>
      </c>
      <c r="M48" s="138">
        <f t="shared" si="2"/>
        <v>0</v>
      </c>
      <c r="N48" s="189">
        <f t="shared" si="2"/>
        <v>542</v>
      </c>
    </row>
    <row r="49" spans="2:14" ht="5.25" customHeight="1" thickTop="1" thickBot="1">
      <c r="B49" s="105"/>
      <c r="C49" s="106"/>
      <c r="D49" s="107"/>
      <c r="E49" s="106"/>
      <c r="F49" s="108"/>
      <c r="G49" s="108"/>
      <c r="H49" s="108"/>
      <c r="I49" s="108"/>
      <c r="J49" s="108"/>
      <c r="K49" s="108"/>
      <c r="L49" s="108"/>
      <c r="M49" s="108"/>
      <c r="N49" s="109"/>
    </row>
    <row r="50" spans="2:14" ht="12.75" customHeight="1" thickBot="1">
      <c r="B50" s="110"/>
      <c r="C50" s="111"/>
      <c r="D50" s="112"/>
      <c r="E50" s="111"/>
      <c r="F50" s="111"/>
      <c r="G50" s="111"/>
      <c r="H50" s="111"/>
      <c r="I50" s="111"/>
      <c r="J50" s="111"/>
      <c r="K50" s="111"/>
      <c r="L50" s="111"/>
      <c r="M50" s="111"/>
      <c r="N50" s="111"/>
    </row>
    <row r="51" spans="2:14" ht="60">
      <c r="B51" s="196" t="str">
        <f>B42</f>
        <v>Three Months Ended September 30, 2011</v>
      </c>
      <c r="C51" s="197"/>
      <c r="D51" s="113"/>
      <c r="E51" s="114" t="s">
        <v>125</v>
      </c>
      <c r="F51" s="114" t="s">
        <v>126</v>
      </c>
      <c r="G51" s="441" t="s">
        <v>121</v>
      </c>
      <c r="H51" s="442" t="s">
        <v>122</v>
      </c>
      <c r="I51" s="116"/>
      <c r="J51" s="117"/>
      <c r="K51" s="118"/>
      <c r="L51" s="110"/>
      <c r="M51" s="110"/>
      <c r="N51" s="110"/>
    </row>
    <row r="52" spans="2:14">
      <c r="B52" s="695" t="s">
        <v>112</v>
      </c>
      <c r="C52" s="696"/>
      <c r="D52" s="119"/>
      <c r="E52" s="120">
        <f>E43-N43</f>
        <v>162</v>
      </c>
      <c r="F52" s="311">
        <v>148</v>
      </c>
      <c r="G52" s="443">
        <v>0.13</v>
      </c>
      <c r="H52" s="444">
        <v>0.13</v>
      </c>
      <c r="I52" s="123"/>
      <c r="J52" s="124"/>
      <c r="K52" s="118"/>
      <c r="L52" s="110"/>
      <c r="M52" s="110"/>
      <c r="N52" s="110"/>
    </row>
    <row r="53" spans="2:14" ht="12" customHeight="1">
      <c r="B53" s="95"/>
      <c r="C53" s="96" t="s">
        <v>52</v>
      </c>
      <c r="D53" s="119" t="s">
        <v>114</v>
      </c>
      <c r="E53" s="125">
        <f>E44-N44</f>
        <v>-105</v>
      </c>
      <c r="F53" s="313">
        <v>-81</v>
      </c>
      <c r="G53" s="445">
        <v>-7.0000000000000007E-2</v>
      </c>
      <c r="H53" s="446">
        <v>-7.0000000000000007E-2</v>
      </c>
      <c r="I53" s="123"/>
      <c r="J53" s="123"/>
      <c r="K53" s="123"/>
      <c r="L53" s="123"/>
      <c r="M53" s="123"/>
      <c r="N53" s="130"/>
    </row>
    <row r="54" spans="2:14">
      <c r="B54" s="95"/>
      <c r="C54" s="96" t="s">
        <v>53</v>
      </c>
      <c r="D54" s="119" t="s">
        <v>115</v>
      </c>
      <c r="E54" s="125">
        <f>E45-N45</f>
        <v>18</v>
      </c>
      <c r="F54" s="313">
        <v>13</v>
      </c>
      <c r="G54" s="445">
        <v>0.01</v>
      </c>
      <c r="H54" s="446">
        <v>0.01</v>
      </c>
      <c r="I54" s="129"/>
      <c r="J54" s="129"/>
      <c r="K54" s="130"/>
      <c r="L54" s="130"/>
      <c r="M54" s="130"/>
      <c r="N54" s="130"/>
    </row>
    <row r="55" spans="2:14">
      <c r="B55" s="95"/>
      <c r="C55" s="96" t="s">
        <v>54</v>
      </c>
      <c r="D55" s="119" t="s">
        <v>116</v>
      </c>
      <c r="E55" s="125">
        <f>E46-N46</f>
        <v>3</v>
      </c>
      <c r="F55" s="313">
        <v>2</v>
      </c>
      <c r="G55" s="447">
        <v>0</v>
      </c>
      <c r="H55" s="448">
        <v>0</v>
      </c>
      <c r="I55" s="134"/>
      <c r="J55" s="134"/>
      <c r="K55" s="135"/>
      <c r="L55" s="130"/>
      <c r="M55" s="130"/>
      <c r="N55" s="130"/>
    </row>
    <row r="56" spans="2:14">
      <c r="B56" s="95"/>
      <c r="C56" s="96" t="s">
        <v>143</v>
      </c>
      <c r="D56" s="119" t="s">
        <v>124</v>
      </c>
      <c r="E56" s="125">
        <f>E47-N47</f>
        <v>7</v>
      </c>
      <c r="F56" s="313">
        <v>5</v>
      </c>
      <c r="G56" s="449">
        <v>0</v>
      </c>
      <c r="H56" s="448">
        <v>0</v>
      </c>
      <c r="I56" s="134"/>
      <c r="J56" s="134"/>
      <c r="K56" s="135"/>
      <c r="L56" s="130"/>
      <c r="M56" s="130"/>
      <c r="N56" s="130"/>
    </row>
    <row r="57" spans="2:14" ht="12.75" thickBot="1">
      <c r="B57" s="697" t="s">
        <v>118</v>
      </c>
      <c r="C57" s="698"/>
      <c r="D57" s="137"/>
      <c r="E57" s="138">
        <f>SUM(E52:E56)</f>
        <v>85</v>
      </c>
      <c r="F57" s="138">
        <f>SUM(F52:F56)</f>
        <v>87</v>
      </c>
      <c r="G57" s="450">
        <v>7.0000000000000007E-2</v>
      </c>
      <c r="H57" s="451">
        <v>7.0000000000000007E-2</v>
      </c>
      <c r="I57" s="141"/>
      <c r="J57" s="111"/>
      <c r="K57" s="111"/>
      <c r="L57" s="111"/>
      <c r="M57" s="111"/>
      <c r="N57" s="111"/>
    </row>
    <row r="58" spans="2:14" ht="5.25" customHeight="1" thickTop="1" thickBot="1">
      <c r="B58" s="142"/>
      <c r="C58" s="143"/>
      <c r="D58" s="144"/>
      <c r="E58" s="145"/>
      <c r="F58" s="145"/>
      <c r="G58" s="145"/>
      <c r="H58" s="146"/>
      <c r="I58" s="110"/>
      <c r="J58" s="111"/>
      <c r="K58" s="111"/>
      <c r="L58" s="111"/>
      <c r="M58" s="111"/>
      <c r="N58" s="111"/>
    </row>
    <row r="59" spans="2:14" ht="12.75" customHeight="1" thickBot="1">
      <c r="B59" s="110"/>
      <c r="C59" s="110"/>
      <c r="D59" s="176"/>
      <c r="E59" s="110"/>
      <c r="F59" s="110"/>
      <c r="G59" s="110"/>
      <c r="H59" s="110"/>
      <c r="I59" s="110"/>
      <c r="J59" s="111"/>
      <c r="K59" s="111"/>
      <c r="L59" s="111"/>
      <c r="M59" s="111"/>
      <c r="N59" s="111"/>
    </row>
    <row r="60" spans="2:14" ht="60">
      <c r="B60" s="177" t="s">
        <v>226</v>
      </c>
      <c r="C60" s="178"/>
      <c r="D60" s="179"/>
      <c r="E60" s="88" t="s">
        <v>104</v>
      </c>
      <c r="F60" s="88" t="s">
        <v>105</v>
      </c>
      <c r="G60" s="88" t="s">
        <v>314</v>
      </c>
      <c r="H60" s="88" t="s">
        <v>106</v>
      </c>
      <c r="I60" s="88" t="s">
        <v>107</v>
      </c>
      <c r="J60" s="88" t="s">
        <v>108</v>
      </c>
      <c r="K60" s="88" t="s">
        <v>109</v>
      </c>
      <c r="L60" s="88" t="s">
        <v>110</v>
      </c>
      <c r="M60" s="88" t="s">
        <v>50</v>
      </c>
      <c r="N60" s="89" t="s">
        <v>111</v>
      </c>
    </row>
    <row r="61" spans="2:14">
      <c r="B61" s="695" t="s">
        <v>112</v>
      </c>
      <c r="C61" s="696"/>
      <c r="D61" s="182"/>
      <c r="E61" s="120">
        <v>1407</v>
      </c>
      <c r="F61" s="120">
        <v>483</v>
      </c>
      <c r="G61" s="120">
        <v>65</v>
      </c>
      <c r="H61" s="120">
        <v>85</v>
      </c>
      <c r="I61" s="120">
        <v>96</v>
      </c>
      <c r="J61" s="120">
        <v>249</v>
      </c>
      <c r="K61" s="120">
        <v>281</v>
      </c>
      <c r="L61" s="120">
        <v>122</v>
      </c>
      <c r="M61" s="120">
        <v>1</v>
      </c>
      <c r="N61" s="183">
        <f t="shared" ref="N61:N66" si="3">SUM(F61:M61)</f>
        <v>1382</v>
      </c>
    </row>
    <row r="62" spans="2:14" ht="12" customHeight="1">
      <c r="B62" s="95"/>
      <c r="C62" s="96" t="s">
        <v>52</v>
      </c>
      <c r="D62" s="119" t="s">
        <v>114</v>
      </c>
      <c r="E62" s="126">
        <v>1001</v>
      </c>
      <c r="F62" s="126">
        <v>209</v>
      </c>
      <c r="G62" s="132">
        <v>0</v>
      </c>
      <c r="H62" s="126">
        <v>37</v>
      </c>
      <c r="I62" s="126">
        <v>-3</v>
      </c>
      <c r="J62" s="132">
        <v>0</v>
      </c>
      <c r="K62" s="132">
        <v>0</v>
      </c>
      <c r="L62" s="132">
        <v>0</v>
      </c>
      <c r="M62" s="132">
        <v>0</v>
      </c>
      <c r="N62" s="184">
        <f t="shared" si="3"/>
        <v>243</v>
      </c>
    </row>
    <row r="63" spans="2:14">
      <c r="B63" s="95"/>
      <c r="C63" s="96" t="s">
        <v>53</v>
      </c>
      <c r="D63" s="119" t="s">
        <v>115</v>
      </c>
      <c r="E63" s="185">
        <v>0</v>
      </c>
      <c r="F63" s="132">
        <v>0</v>
      </c>
      <c r="G63" s="132">
        <v>0</v>
      </c>
      <c r="H63" s="132">
        <v>-3</v>
      </c>
      <c r="I63" s="132">
        <v>0</v>
      </c>
      <c r="J63" s="126">
        <v>-25</v>
      </c>
      <c r="K63" s="126">
        <v>-2</v>
      </c>
      <c r="L63" s="126">
        <v>-13</v>
      </c>
      <c r="M63" s="132">
        <v>0</v>
      </c>
      <c r="N63" s="184">
        <f t="shared" si="3"/>
        <v>-43</v>
      </c>
    </row>
    <row r="64" spans="2:14">
      <c r="B64" s="95"/>
      <c r="C64" s="96" t="s">
        <v>54</v>
      </c>
      <c r="D64" s="119" t="s">
        <v>116</v>
      </c>
      <c r="E64" s="132">
        <v>0</v>
      </c>
      <c r="F64" s="132">
        <v>0</v>
      </c>
      <c r="G64" s="132">
        <v>0</v>
      </c>
      <c r="H64" s="132">
        <v>0</v>
      </c>
      <c r="I64" s="132">
        <v>0</v>
      </c>
      <c r="J64" s="132">
        <v>0</v>
      </c>
      <c r="K64" s="132">
        <v>0</v>
      </c>
      <c r="L64" s="132">
        <v>-1</v>
      </c>
      <c r="M64" s="132">
        <v>-1</v>
      </c>
      <c r="N64" s="184">
        <f t="shared" si="3"/>
        <v>-2</v>
      </c>
    </row>
    <row r="65" spans="2:14">
      <c r="B65" s="95"/>
      <c r="C65" s="96" t="s">
        <v>143</v>
      </c>
      <c r="D65" s="119" t="s">
        <v>124</v>
      </c>
      <c r="E65" s="132">
        <v>0</v>
      </c>
      <c r="F65" s="132">
        <v>-2</v>
      </c>
      <c r="G65" s="132">
        <v>0</v>
      </c>
      <c r="H65" s="132">
        <v>0</v>
      </c>
      <c r="I65" s="126">
        <v>-48</v>
      </c>
      <c r="J65" s="132">
        <v>0</v>
      </c>
      <c r="K65" s="132">
        <v>0</v>
      </c>
      <c r="L65" s="132">
        <v>0</v>
      </c>
      <c r="M65" s="132">
        <v>0</v>
      </c>
      <c r="N65" s="184">
        <f t="shared" si="3"/>
        <v>-50</v>
      </c>
    </row>
    <row r="66" spans="2:14">
      <c r="B66" s="95"/>
      <c r="C66" s="96" t="s">
        <v>227</v>
      </c>
      <c r="D66" s="119" t="s">
        <v>117</v>
      </c>
      <c r="E66" s="132">
        <v>0</v>
      </c>
      <c r="F66" s="132">
        <v>0</v>
      </c>
      <c r="G66" s="132">
        <v>0</v>
      </c>
      <c r="H66" s="132">
        <v>0</v>
      </c>
      <c r="I66" s="126">
        <v>0</v>
      </c>
      <c r="J66" s="132">
        <v>0</v>
      </c>
      <c r="K66" s="132">
        <v>0</v>
      </c>
      <c r="L66" s="132">
        <v>-12</v>
      </c>
      <c r="M66" s="132">
        <v>0</v>
      </c>
      <c r="N66" s="184">
        <f t="shared" si="3"/>
        <v>-12</v>
      </c>
    </row>
    <row r="67" spans="2:14" ht="12.75" thickBot="1">
      <c r="B67" s="697" t="s">
        <v>118</v>
      </c>
      <c r="C67" s="698"/>
      <c r="D67" s="211"/>
      <c r="E67" s="138">
        <f t="shared" ref="E67:N67" si="4">SUM(E61:E66)</f>
        <v>2408</v>
      </c>
      <c r="F67" s="138">
        <f t="shared" si="4"/>
        <v>690</v>
      </c>
      <c r="G67" s="138">
        <f t="shared" si="4"/>
        <v>65</v>
      </c>
      <c r="H67" s="138">
        <f t="shared" si="4"/>
        <v>119</v>
      </c>
      <c r="I67" s="138">
        <f t="shared" si="4"/>
        <v>45</v>
      </c>
      <c r="J67" s="138">
        <f t="shared" si="4"/>
        <v>224</v>
      </c>
      <c r="K67" s="138">
        <f t="shared" si="4"/>
        <v>279</v>
      </c>
      <c r="L67" s="138">
        <f t="shared" si="4"/>
        <v>96</v>
      </c>
      <c r="M67" s="138">
        <f t="shared" si="4"/>
        <v>0</v>
      </c>
      <c r="N67" s="189">
        <f t="shared" si="4"/>
        <v>1518</v>
      </c>
    </row>
    <row r="68" spans="2:14" ht="5.25" customHeight="1" thickTop="1" thickBot="1">
      <c r="B68" s="105"/>
      <c r="C68" s="106"/>
      <c r="D68" s="107"/>
      <c r="E68" s="106"/>
      <c r="F68" s="108"/>
      <c r="G68" s="108"/>
      <c r="H68" s="108"/>
      <c r="I68" s="108"/>
      <c r="J68" s="108"/>
      <c r="K68" s="108"/>
      <c r="L68" s="108"/>
      <c r="M68" s="108"/>
      <c r="N68" s="109"/>
    </row>
    <row r="69" spans="2:14" ht="12.75" customHeight="1" thickBot="1">
      <c r="B69" s="110"/>
      <c r="C69" s="111"/>
      <c r="D69" s="112"/>
      <c r="E69" s="111"/>
      <c r="F69" s="111"/>
      <c r="G69" s="111"/>
      <c r="H69" s="111"/>
      <c r="I69" s="111"/>
      <c r="J69" s="111"/>
      <c r="K69" s="111"/>
      <c r="L69" s="111"/>
      <c r="M69" s="111"/>
      <c r="N69" s="111"/>
    </row>
    <row r="70" spans="2:14" ht="48">
      <c r="B70" s="196" t="str">
        <f>B60</f>
        <v>Three Months Ended December 31, 2011</v>
      </c>
      <c r="C70" s="197"/>
      <c r="D70" s="113"/>
      <c r="E70" s="114" t="s">
        <v>125</v>
      </c>
      <c r="F70" s="114" t="s">
        <v>126</v>
      </c>
      <c r="G70" s="441" t="s">
        <v>127</v>
      </c>
      <c r="H70" s="442" t="s">
        <v>128</v>
      </c>
      <c r="I70" s="116"/>
      <c r="J70" s="117"/>
      <c r="K70" s="118"/>
      <c r="L70" s="110"/>
      <c r="M70" s="110"/>
      <c r="N70" s="110"/>
    </row>
    <row r="71" spans="2:14">
      <c r="B71" s="695" t="s">
        <v>112</v>
      </c>
      <c r="C71" s="696"/>
      <c r="D71" s="119"/>
      <c r="E71" s="120">
        <f t="shared" ref="E71:E76" si="5">E61-N61</f>
        <v>25</v>
      </c>
      <c r="F71" s="311">
        <v>99</v>
      </c>
      <c r="G71" s="443">
        <v>0.09</v>
      </c>
      <c r="H71" s="444">
        <v>0.08</v>
      </c>
      <c r="I71" s="123"/>
      <c r="J71" s="124"/>
      <c r="K71" s="118"/>
      <c r="L71" s="110"/>
      <c r="M71" s="110"/>
      <c r="N71" s="110"/>
    </row>
    <row r="72" spans="2:14" ht="12" customHeight="1">
      <c r="B72" s="95"/>
      <c r="C72" s="96" t="s">
        <v>52</v>
      </c>
      <c r="D72" s="119" t="s">
        <v>114</v>
      </c>
      <c r="E72" s="125">
        <f t="shared" si="5"/>
        <v>758</v>
      </c>
      <c r="F72" s="313">
        <v>549</v>
      </c>
      <c r="G72" s="445">
        <v>0.47</v>
      </c>
      <c r="H72" s="446">
        <v>0.47</v>
      </c>
      <c r="I72" s="123"/>
      <c r="J72" s="123"/>
      <c r="K72" s="123"/>
      <c r="L72" s="123"/>
      <c r="M72" s="123"/>
      <c r="N72" s="130"/>
    </row>
    <row r="73" spans="2:14">
      <c r="B73" s="95"/>
      <c r="C73" s="96" t="s">
        <v>53</v>
      </c>
      <c r="D73" s="119" t="s">
        <v>115</v>
      </c>
      <c r="E73" s="125">
        <f t="shared" si="5"/>
        <v>43</v>
      </c>
      <c r="F73" s="313">
        <v>33</v>
      </c>
      <c r="G73" s="445">
        <v>0.03</v>
      </c>
      <c r="H73" s="446">
        <v>0.03</v>
      </c>
      <c r="I73" s="129"/>
      <c r="J73" s="129"/>
      <c r="K73" s="130"/>
      <c r="L73" s="130"/>
      <c r="M73" s="130"/>
      <c r="N73" s="130"/>
    </row>
    <row r="74" spans="2:14">
      <c r="B74" s="95"/>
      <c r="C74" s="96" t="s">
        <v>54</v>
      </c>
      <c r="D74" s="119" t="s">
        <v>116</v>
      </c>
      <c r="E74" s="125">
        <f t="shared" si="5"/>
        <v>2</v>
      </c>
      <c r="F74" s="313">
        <v>1</v>
      </c>
      <c r="G74" s="447">
        <v>0</v>
      </c>
      <c r="H74" s="448">
        <v>0</v>
      </c>
      <c r="I74" s="134"/>
      <c r="J74" s="134"/>
      <c r="K74" s="135"/>
      <c r="L74" s="130"/>
      <c r="M74" s="130"/>
      <c r="N74" s="130"/>
    </row>
    <row r="75" spans="2:14">
      <c r="B75" s="95"/>
      <c r="C75" s="96" t="s">
        <v>143</v>
      </c>
      <c r="D75" s="119" t="s">
        <v>124</v>
      </c>
      <c r="E75" s="125">
        <f t="shared" si="5"/>
        <v>50</v>
      </c>
      <c r="F75" s="313">
        <v>31</v>
      </c>
      <c r="G75" s="445">
        <v>0.03</v>
      </c>
      <c r="H75" s="446">
        <v>0.03</v>
      </c>
      <c r="I75" s="134"/>
      <c r="J75" s="134"/>
      <c r="K75" s="135"/>
      <c r="L75" s="130"/>
      <c r="M75" s="130"/>
      <c r="N75" s="130"/>
    </row>
    <row r="76" spans="2:14">
      <c r="B76" s="95"/>
      <c r="C76" s="96" t="s">
        <v>227</v>
      </c>
      <c r="D76" s="119" t="s">
        <v>117</v>
      </c>
      <c r="E76" s="125">
        <f t="shared" si="5"/>
        <v>12</v>
      </c>
      <c r="F76" s="313">
        <v>12</v>
      </c>
      <c r="G76" s="527">
        <v>0.01</v>
      </c>
      <c r="H76" s="528">
        <v>0.01</v>
      </c>
      <c r="I76" s="134"/>
      <c r="J76" s="134"/>
      <c r="K76" s="135"/>
      <c r="L76" s="130"/>
      <c r="M76" s="130"/>
      <c r="N76" s="130"/>
    </row>
    <row r="77" spans="2:14" ht="12.75" thickBot="1">
      <c r="B77" s="697" t="s">
        <v>118</v>
      </c>
      <c r="C77" s="698"/>
      <c r="D77" s="137"/>
      <c r="E77" s="138">
        <f>SUM(E71:E76)</f>
        <v>890</v>
      </c>
      <c r="F77" s="138">
        <f>SUM(F71:F76)</f>
        <v>725</v>
      </c>
      <c r="G77" s="450">
        <v>0.63</v>
      </c>
      <c r="H77" s="451">
        <v>0.62</v>
      </c>
      <c r="I77" s="141"/>
      <c r="J77" s="111"/>
      <c r="K77" s="111"/>
      <c r="L77" s="111"/>
      <c r="M77" s="111"/>
      <c r="N77" s="111"/>
    </row>
    <row r="78" spans="2:14" ht="5.25" customHeight="1" thickTop="1" thickBot="1">
      <c r="B78" s="142"/>
      <c r="C78" s="143"/>
      <c r="D78" s="144"/>
      <c r="E78" s="145"/>
      <c r="F78" s="145"/>
      <c r="G78" s="145"/>
      <c r="H78" s="146"/>
      <c r="I78" s="110"/>
      <c r="J78" s="111"/>
      <c r="K78" s="111"/>
      <c r="L78" s="111"/>
      <c r="M78" s="111"/>
      <c r="N78" s="111"/>
    </row>
    <row r="79" spans="2:14">
      <c r="B79" s="110"/>
      <c r="C79" s="110"/>
      <c r="D79" s="176"/>
      <c r="E79" s="110"/>
      <c r="F79" s="110"/>
      <c r="G79" s="110"/>
      <c r="H79" s="110"/>
      <c r="I79" s="110"/>
      <c r="J79" s="111"/>
      <c r="K79" s="111"/>
      <c r="L79" s="111"/>
      <c r="M79" s="111"/>
      <c r="N79" s="111"/>
    </row>
    <row r="80" spans="2:14">
      <c r="B80" s="206"/>
      <c r="C80" s="700" t="s">
        <v>129</v>
      </c>
      <c r="D80" s="700"/>
      <c r="E80" s="700"/>
      <c r="F80" s="700"/>
      <c r="G80" s="700"/>
      <c r="H80" s="700"/>
      <c r="I80" s="700"/>
      <c r="J80" s="700"/>
      <c r="K80" s="700"/>
      <c r="L80" s="700"/>
      <c r="M80" s="700"/>
      <c r="N80" s="700"/>
    </row>
    <row r="81" spans="2:14">
      <c r="B81" s="206"/>
      <c r="C81" s="701" t="s">
        <v>130</v>
      </c>
      <c r="D81" s="701"/>
      <c r="E81" s="701"/>
      <c r="F81" s="701"/>
      <c r="G81" s="701"/>
      <c r="H81" s="701"/>
      <c r="I81" s="701"/>
      <c r="J81" s="701"/>
      <c r="K81" s="701"/>
      <c r="L81" s="701"/>
      <c r="M81" s="701"/>
      <c r="N81" s="701"/>
    </row>
    <row r="82" spans="2:14">
      <c r="B82" s="206"/>
      <c r="C82" s="701" t="s">
        <v>131</v>
      </c>
      <c r="D82" s="701"/>
      <c r="E82" s="701"/>
      <c r="F82" s="701"/>
      <c r="G82" s="701"/>
      <c r="H82" s="701"/>
      <c r="I82" s="701"/>
      <c r="J82" s="701"/>
      <c r="K82" s="701"/>
      <c r="L82" s="701"/>
      <c r="M82" s="701"/>
      <c r="N82" s="701"/>
    </row>
    <row r="83" spans="2:14">
      <c r="B83" s="207"/>
      <c r="C83" s="700" t="s">
        <v>182</v>
      </c>
      <c r="D83" s="700"/>
      <c r="E83" s="700"/>
      <c r="F83" s="700"/>
      <c r="G83" s="700"/>
      <c r="H83" s="700"/>
      <c r="I83" s="700"/>
      <c r="J83" s="700"/>
      <c r="K83" s="700"/>
      <c r="L83" s="700"/>
      <c r="M83" s="700"/>
      <c r="N83" s="700"/>
    </row>
    <row r="84" spans="2:14">
      <c r="B84" s="207"/>
      <c r="C84" s="512" t="s">
        <v>293</v>
      </c>
      <c r="D84" s="512"/>
      <c r="E84" s="512"/>
      <c r="F84" s="512"/>
      <c r="G84" s="512"/>
      <c r="H84" s="512"/>
      <c r="I84" s="512"/>
      <c r="J84" s="512"/>
      <c r="K84" s="512"/>
      <c r="L84" s="512"/>
      <c r="M84" s="512"/>
      <c r="N84" s="512"/>
    </row>
    <row r="85" spans="2:14">
      <c r="B85" s="207"/>
      <c r="C85" s="208"/>
      <c r="D85" s="213"/>
      <c r="E85" s="213"/>
      <c r="F85" s="213"/>
      <c r="G85" s="213"/>
      <c r="H85" s="213"/>
      <c r="I85" s="213"/>
      <c r="J85" s="213"/>
      <c r="K85" s="213"/>
      <c r="L85" s="213"/>
      <c r="M85" s="213"/>
      <c r="N85" s="213"/>
    </row>
    <row r="86" spans="2:14" ht="33" customHeight="1">
      <c r="B86" s="207"/>
      <c r="C86" s="702" t="s">
        <v>132</v>
      </c>
      <c r="D86" s="702"/>
      <c r="E86" s="702"/>
      <c r="F86" s="702"/>
      <c r="G86" s="702"/>
      <c r="H86" s="702"/>
      <c r="I86" s="702"/>
      <c r="J86" s="702"/>
      <c r="K86" s="702"/>
      <c r="L86" s="702"/>
      <c r="M86" s="702"/>
      <c r="N86" s="702"/>
    </row>
  </sheetData>
  <sheetProtection formatCells="0" formatColumns="0" formatRows="0" sort="0" autoFilter="0" pivotTables="0"/>
  <mergeCells count="24">
    <mergeCell ref="B25:C25"/>
    <mergeCell ref="B30:C30"/>
    <mergeCell ref="B34:C34"/>
    <mergeCell ref="B16:C16"/>
    <mergeCell ref="B21:C21"/>
    <mergeCell ref="B7:C7"/>
    <mergeCell ref="B12:C12"/>
    <mergeCell ref="B1:N1"/>
    <mergeCell ref="B2:N2"/>
    <mergeCell ref="B3:N3"/>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s>
  <pageMargins left="0.7" right="0.7" top="0.25" bottom="0.44" header="0.3" footer="0.3"/>
  <pageSetup scale="40" orientation="landscape" r:id="rId1"/>
  <headerFooter>
    <oddFooter>&amp;LActivision Blizzard, Inc.&amp;R&amp;P of &amp; 25</oddFooter>
  </headerFooter>
  <rowBreaks count="1" manualBreakCount="1">
    <brk id="41" min="1"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N86"/>
  <sheetViews>
    <sheetView view="pageBreakPreview" zoomScale="70" zoomScaleNormal="100" zoomScaleSheetLayoutView="70" workbookViewId="0"/>
  </sheetViews>
  <sheetFormatPr defaultColWidth="9.140625" defaultRowHeight="12"/>
  <cols>
    <col min="1" max="1" width="2.85546875" style="81" customWidth="1"/>
    <col min="2" max="2" width="1.42578125" style="81" customWidth="1"/>
    <col min="3" max="3" width="57.140625" style="81" customWidth="1"/>
    <col min="4" max="4" width="4.42578125" style="81" customWidth="1"/>
    <col min="5" max="5" width="10.85546875" style="81" customWidth="1"/>
    <col min="6" max="7" width="8.5703125" style="81" customWidth="1"/>
    <col min="8" max="8" width="12.42578125" style="81" customWidth="1"/>
    <col min="9" max="9" width="10.5703125" style="81" customWidth="1"/>
    <col min="10" max="10" width="12.28515625" style="81" customWidth="1"/>
    <col min="11" max="11" width="10" style="81" customWidth="1"/>
    <col min="12" max="14" width="13" style="81" customWidth="1"/>
    <col min="15" max="16384" width="9.140625" style="81"/>
  </cols>
  <sheetData>
    <row r="1" spans="2:14">
      <c r="B1" s="699" t="s">
        <v>73</v>
      </c>
      <c r="C1" s="699"/>
      <c r="D1" s="699"/>
      <c r="E1" s="699"/>
      <c r="F1" s="699"/>
      <c r="G1" s="699"/>
      <c r="H1" s="699"/>
      <c r="I1" s="699"/>
      <c r="J1" s="699"/>
      <c r="K1" s="699"/>
      <c r="L1" s="699"/>
      <c r="M1" s="699"/>
      <c r="N1" s="699"/>
    </row>
    <row r="2" spans="2:14">
      <c r="B2" s="699" t="s">
        <v>251</v>
      </c>
      <c r="C2" s="699"/>
      <c r="D2" s="699"/>
      <c r="E2" s="699"/>
      <c r="F2" s="699"/>
      <c r="G2" s="699"/>
      <c r="H2" s="699"/>
      <c r="I2" s="699"/>
      <c r="J2" s="699"/>
      <c r="K2" s="699"/>
      <c r="L2" s="699"/>
      <c r="M2" s="699"/>
      <c r="N2" s="699"/>
    </row>
    <row r="3" spans="2:14">
      <c r="B3" s="699" t="s">
        <v>103</v>
      </c>
      <c r="C3" s="699"/>
      <c r="D3" s="699"/>
      <c r="E3" s="699"/>
      <c r="F3" s="699"/>
      <c r="G3" s="699"/>
      <c r="H3" s="699"/>
      <c r="I3" s="699"/>
      <c r="J3" s="699"/>
      <c r="K3" s="699"/>
      <c r="L3" s="699"/>
      <c r="M3" s="699"/>
      <c r="N3" s="699"/>
    </row>
    <row r="4" spans="2:14">
      <c r="B4" s="82"/>
      <c r="C4" s="82"/>
      <c r="D4" s="82"/>
      <c r="E4" s="82"/>
      <c r="F4" s="82"/>
      <c r="G4" s="82"/>
      <c r="H4" s="82"/>
      <c r="I4" s="82"/>
      <c r="J4" s="82"/>
      <c r="K4" s="82"/>
      <c r="L4" s="82"/>
      <c r="M4" s="82"/>
      <c r="N4" s="82"/>
    </row>
    <row r="5" spans="2:14" ht="12.75" thickBot="1">
      <c r="B5" s="83"/>
      <c r="C5" s="84"/>
      <c r="D5" s="85"/>
      <c r="E5" s="84"/>
      <c r="F5" s="84"/>
      <c r="G5" s="85"/>
      <c r="H5" s="85"/>
      <c r="I5" s="85"/>
      <c r="J5" s="85"/>
      <c r="K5" s="86"/>
      <c r="L5" s="86"/>
      <c r="M5" s="86"/>
      <c r="N5" s="86"/>
    </row>
    <row r="6" spans="2:14" ht="60">
      <c r="B6" s="704" t="s">
        <v>25</v>
      </c>
      <c r="C6" s="705"/>
      <c r="D6" s="87"/>
      <c r="E6" s="88" t="s">
        <v>104</v>
      </c>
      <c r="F6" s="88" t="s">
        <v>105</v>
      </c>
      <c r="G6" s="88" t="s">
        <v>314</v>
      </c>
      <c r="H6" s="88" t="s">
        <v>106</v>
      </c>
      <c r="I6" s="88" t="s">
        <v>107</v>
      </c>
      <c r="J6" s="88" t="s">
        <v>108</v>
      </c>
      <c r="K6" s="88" t="s">
        <v>109</v>
      </c>
      <c r="L6" s="88" t="s">
        <v>110</v>
      </c>
      <c r="M6" s="89" t="s">
        <v>111</v>
      </c>
      <c r="N6" s="90"/>
    </row>
    <row r="7" spans="2:14">
      <c r="B7" s="706" t="s">
        <v>112</v>
      </c>
      <c r="C7" s="707"/>
      <c r="D7" s="91"/>
      <c r="E7" s="92">
        <v>1308</v>
      </c>
      <c r="F7" s="92">
        <v>337</v>
      </c>
      <c r="G7" s="92">
        <f>56+2</f>
        <v>58</v>
      </c>
      <c r="H7" s="92">
        <v>99</v>
      </c>
      <c r="I7" s="92">
        <v>43</v>
      </c>
      <c r="J7" s="92">
        <f>136-2</f>
        <v>134</v>
      </c>
      <c r="K7" s="92">
        <v>56</v>
      </c>
      <c r="L7" s="92">
        <v>70</v>
      </c>
      <c r="M7" s="93">
        <f>SUM(F7:L7)</f>
        <v>797</v>
      </c>
      <c r="N7" s="94" t="s">
        <v>113</v>
      </c>
    </row>
    <row r="8" spans="2:14" ht="12" customHeight="1">
      <c r="B8" s="95"/>
      <c r="C8" s="96" t="s">
        <v>52</v>
      </c>
      <c r="D8" s="91" t="s">
        <v>114</v>
      </c>
      <c r="E8" s="97">
        <v>-594</v>
      </c>
      <c r="F8" s="97">
        <v>-133</v>
      </c>
      <c r="G8" s="97">
        <v>0</v>
      </c>
      <c r="H8" s="97">
        <v>-37</v>
      </c>
      <c r="I8" s="97">
        <v>-14</v>
      </c>
      <c r="J8" s="97">
        <v>0</v>
      </c>
      <c r="K8" s="97">
        <v>0</v>
      </c>
      <c r="L8" s="97">
        <v>0</v>
      </c>
      <c r="M8" s="98">
        <f>SUM(F8:L8)</f>
        <v>-184</v>
      </c>
      <c r="N8" s="94" t="s">
        <v>113</v>
      </c>
    </row>
    <row r="9" spans="2:14" ht="24">
      <c r="B9" s="95"/>
      <c r="C9" s="96" t="s">
        <v>142</v>
      </c>
      <c r="D9" s="91" t="s">
        <v>115</v>
      </c>
      <c r="E9" s="99">
        <v>0</v>
      </c>
      <c r="F9" s="99">
        <v>0</v>
      </c>
      <c r="G9" s="99">
        <v>0</v>
      </c>
      <c r="H9" s="99">
        <v>-29</v>
      </c>
      <c r="I9" s="99">
        <v>0</v>
      </c>
      <c r="J9" s="99">
        <v>-4</v>
      </c>
      <c r="K9" s="99">
        <v>-2</v>
      </c>
      <c r="L9" s="99">
        <v>-9</v>
      </c>
      <c r="M9" s="100">
        <f>SUM(F9:L9)</f>
        <v>-44</v>
      </c>
      <c r="N9" s="94" t="s">
        <v>113</v>
      </c>
    </row>
    <row r="10" spans="2:14">
      <c r="B10" s="95"/>
      <c r="C10" s="96" t="s">
        <v>123</v>
      </c>
      <c r="D10" s="101" t="s">
        <v>116</v>
      </c>
      <c r="E10" s="99">
        <v>0</v>
      </c>
      <c r="F10" s="99">
        <v>0</v>
      </c>
      <c r="G10" s="99">
        <v>0</v>
      </c>
      <c r="H10" s="99">
        <v>0</v>
      </c>
      <c r="I10" s="99">
        <v>0</v>
      </c>
      <c r="J10" s="99">
        <v>0</v>
      </c>
      <c r="K10" s="99">
        <v>0</v>
      </c>
      <c r="L10" s="99">
        <v>-3</v>
      </c>
      <c r="M10" s="100">
        <f>SUM(F10:L10)</f>
        <v>-3</v>
      </c>
      <c r="N10" s="94" t="s">
        <v>113</v>
      </c>
    </row>
    <row r="11" spans="2:14">
      <c r="B11" s="95"/>
      <c r="C11" s="96" t="s">
        <v>143</v>
      </c>
      <c r="D11" s="91" t="s">
        <v>124</v>
      </c>
      <c r="E11" s="209">
        <v>0</v>
      </c>
      <c r="F11" s="209">
        <v>-1</v>
      </c>
      <c r="G11" s="209">
        <v>0</v>
      </c>
      <c r="H11" s="209">
        <v>-4</v>
      </c>
      <c r="I11" s="209">
        <v>-12</v>
      </c>
      <c r="J11" s="209">
        <v>0</v>
      </c>
      <c r="K11" s="209">
        <v>0</v>
      </c>
      <c r="L11" s="209">
        <v>0</v>
      </c>
      <c r="M11" s="210">
        <f>SUM(F11:L11)</f>
        <v>-17</v>
      </c>
      <c r="N11" s="94" t="s">
        <v>113</v>
      </c>
    </row>
    <row r="12" spans="2:14" ht="12.75" thickBot="1">
      <c r="B12" s="697" t="s">
        <v>118</v>
      </c>
      <c r="C12" s="698"/>
      <c r="D12" s="102"/>
      <c r="E12" s="103">
        <f t="shared" ref="E12:M12" si="0">SUM(E7:E11)</f>
        <v>714</v>
      </c>
      <c r="F12" s="103">
        <f t="shared" si="0"/>
        <v>203</v>
      </c>
      <c r="G12" s="103">
        <f t="shared" si="0"/>
        <v>58</v>
      </c>
      <c r="H12" s="103">
        <f t="shared" si="0"/>
        <v>29</v>
      </c>
      <c r="I12" s="103">
        <f t="shared" si="0"/>
        <v>17</v>
      </c>
      <c r="J12" s="103">
        <f t="shared" si="0"/>
        <v>130</v>
      </c>
      <c r="K12" s="103">
        <f t="shared" si="0"/>
        <v>54</v>
      </c>
      <c r="L12" s="103">
        <f t="shared" si="0"/>
        <v>58</v>
      </c>
      <c r="M12" s="104">
        <f t="shared" si="0"/>
        <v>549</v>
      </c>
      <c r="N12" s="94" t="s">
        <v>113</v>
      </c>
    </row>
    <row r="13" spans="2:14" ht="4.5" customHeight="1" thickTop="1" thickBot="1">
      <c r="B13" s="105"/>
      <c r="C13" s="106"/>
      <c r="D13" s="107"/>
      <c r="E13" s="106"/>
      <c r="F13" s="108"/>
      <c r="G13" s="108"/>
      <c r="H13" s="108"/>
      <c r="I13" s="108"/>
      <c r="J13" s="108"/>
      <c r="K13" s="108"/>
      <c r="L13" s="108"/>
      <c r="M13" s="109"/>
      <c r="N13" s="94" t="s">
        <v>113</v>
      </c>
    </row>
    <row r="14" spans="2:14" ht="12.75" thickBot="1">
      <c r="B14" s="110"/>
      <c r="C14" s="111"/>
      <c r="D14" s="112"/>
      <c r="E14" s="111"/>
      <c r="F14" s="111"/>
      <c r="G14" s="111"/>
      <c r="H14" s="111"/>
      <c r="I14" s="111"/>
      <c r="J14" s="111"/>
      <c r="K14" s="111"/>
      <c r="L14" s="111"/>
      <c r="M14" s="111"/>
      <c r="N14" s="111"/>
    </row>
    <row r="15" spans="2:14" ht="60">
      <c r="B15" s="704" t="str">
        <f>B6</f>
        <v>Three Months Ended March 31, 2010</v>
      </c>
      <c r="C15" s="705"/>
      <c r="D15" s="113"/>
      <c r="E15" s="114" t="s">
        <v>125</v>
      </c>
      <c r="F15" s="114" t="s">
        <v>126</v>
      </c>
      <c r="G15" s="114" t="s">
        <v>121</v>
      </c>
      <c r="H15" s="115" t="s">
        <v>122</v>
      </c>
      <c r="I15" s="116"/>
      <c r="J15" s="117"/>
      <c r="K15" s="118"/>
      <c r="L15" s="110"/>
      <c r="M15" s="110"/>
      <c r="N15" s="110"/>
    </row>
    <row r="16" spans="2:14">
      <c r="B16" s="695" t="s">
        <v>112</v>
      </c>
      <c r="C16" s="696"/>
      <c r="D16" s="119"/>
      <c r="E16" s="120">
        <f>E7-M7</f>
        <v>511</v>
      </c>
      <c r="F16" s="120">
        <v>381</v>
      </c>
      <c r="G16" s="121">
        <v>0.3</v>
      </c>
      <c r="H16" s="122">
        <v>0.3</v>
      </c>
      <c r="I16" s="123"/>
      <c r="J16" s="124"/>
      <c r="K16" s="118"/>
      <c r="L16" s="110"/>
      <c r="M16" s="110"/>
      <c r="N16" s="110"/>
    </row>
    <row r="17" spans="2:14" ht="12" customHeight="1">
      <c r="B17" s="95"/>
      <c r="C17" s="96" t="s">
        <v>52</v>
      </c>
      <c r="D17" s="119" t="s">
        <v>114</v>
      </c>
      <c r="E17" s="125">
        <f>E8-M8</f>
        <v>-410</v>
      </c>
      <c r="F17" s="126">
        <v>-308</v>
      </c>
      <c r="G17" s="127">
        <v>-0.24</v>
      </c>
      <c r="H17" s="128">
        <v>-0.24</v>
      </c>
      <c r="I17" s="123"/>
      <c r="J17" s="123"/>
      <c r="K17" s="123"/>
      <c r="L17" s="123"/>
      <c r="M17" s="123"/>
      <c r="N17" s="123"/>
    </row>
    <row r="18" spans="2:14" ht="24">
      <c r="B18" s="95"/>
      <c r="C18" s="96" t="s">
        <v>142</v>
      </c>
      <c r="D18" s="119" t="s">
        <v>115</v>
      </c>
      <c r="E18" s="125">
        <f>E9-M9</f>
        <v>44</v>
      </c>
      <c r="F18" s="126">
        <v>30</v>
      </c>
      <c r="G18" s="127">
        <v>0.02</v>
      </c>
      <c r="H18" s="128">
        <v>0.02</v>
      </c>
      <c r="I18" s="129"/>
      <c r="J18" s="129"/>
      <c r="K18" s="130"/>
      <c r="L18" s="130"/>
      <c r="M18" s="130"/>
      <c r="N18" s="130"/>
    </row>
    <row r="19" spans="2:14">
      <c r="B19" s="95"/>
      <c r="C19" s="96" t="s">
        <v>123</v>
      </c>
      <c r="D19" s="131" t="s">
        <v>116</v>
      </c>
      <c r="E19" s="125">
        <f>E10-M10</f>
        <v>3</v>
      </c>
      <c r="F19" s="126">
        <v>2</v>
      </c>
      <c r="G19" s="132">
        <v>0</v>
      </c>
      <c r="H19" s="133">
        <v>0</v>
      </c>
      <c r="I19" s="134"/>
      <c r="J19" s="134"/>
      <c r="K19" s="135"/>
      <c r="L19" s="130"/>
      <c r="M19" s="130"/>
      <c r="N19" s="130"/>
    </row>
    <row r="20" spans="2:14">
      <c r="B20" s="95"/>
      <c r="C20" s="96" t="s">
        <v>143</v>
      </c>
      <c r="D20" s="119" t="s">
        <v>124</v>
      </c>
      <c r="E20" s="125">
        <f>E11-M11</f>
        <v>17</v>
      </c>
      <c r="F20" s="126">
        <v>11</v>
      </c>
      <c r="G20" s="136">
        <v>0.01</v>
      </c>
      <c r="H20" s="128">
        <v>0.01</v>
      </c>
      <c r="I20" s="134"/>
      <c r="J20" s="134"/>
      <c r="K20" s="135"/>
      <c r="L20" s="130"/>
      <c r="M20" s="130"/>
      <c r="N20" s="130"/>
    </row>
    <row r="21" spans="2:14" ht="12.75" thickBot="1">
      <c r="B21" s="697" t="s">
        <v>118</v>
      </c>
      <c r="C21" s="698"/>
      <c r="D21" s="137"/>
      <c r="E21" s="138">
        <f>SUM(E16:E20)</f>
        <v>165</v>
      </c>
      <c r="F21" s="138">
        <f>SUM(F16:F20)</f>
        <v>116</v>
      </c>
      <c r="G21" s="139">
        <v>0.09</v>
      </c>
      <c r="H21" s="140">
        <v>0.09</v>
      </c>
      <c r="I21" s="141"/>
      <c r="J21" s="111"/>
      <c r="K21" s="111"/>
      <c r="L21" s="111"/>
      <c r="M21" s="111"/>
      <c r="N21" s="111"/>
    </row>
    <row r="22" spans="2:14" ht="4.5" customHeight="1" thickTop="1" thickBot="1">
      <c r="B22" s="142"/>
      <c r="C22" s="143"/>
      <c r="D22" s="144"/>
      <c r="E22" s="145"/>
      <c r="F22" s="145"/>
      <c r="G22" s="145"/>
      <c r="H22" s="146"/>
      <c r="I22" s="110"/>
      <c r="J22" s="111"/>
      <c r="K22" s="111"/>
      <c r="L22" s="111"/>
      <c r="M22" s="111"/>
      <c r="N22" s="111"/>
    </row>
    <row r="23" spans="2:14" ht="12.75" thickBot="1"/>
    <row r="24" spans="2:14" ht="60">
      <c r="B24" s="704" t="s">
        <v>141</v>
      </c>
      <c r="C24" s="705"/>
      <c r="D24" s="87"/>
      <c r="E24" s="88" t="s">
        <v>104</v>
      </c>
      <c r="F24" s="88" t="s">
        <v>105</v>
      </c>
      <c r="G24" s="88" t="s">
        <v>314</v>
      </c>
      <c r="H24" s="88" t="s">
        <v>106</v>
      </c>
      <c r="I24" s="88" t="s">
        <v>107</v>
      </c>
      <c r="J24" s="88" t="s">
        <v>108</v>
      </c>
      <c r="K24" s="88" t="s">
        <v>109</v>
      </c>
      <c r="L24" s="88" t="s">
        <v>110</v>
      </c>
      <c r="M24" s="89" t="s">
        <v>111</v>
      </c>
    </row>
    <row r="25" spans="2:14">
      <c r="B25" s="706" t="s">
        <v>112</v>
      </c>
      <c r="C25" s="707"/>
      <c r="D25" s="91"/>
      <c r="E25" s="92">
        <v>967</v>
      </c>
      <c r="F25" s="92">
        <v>235</v>
      </c>
      <c r="G25" s="92">
        <f>53+2</f>
        <v>55</v>
      </c>
      <c r="H25" s="92">
        <v>51</v>
      </c>
      <c r="I25" s="92">
        <v>29</v>
      </c>
      <c r="J25" s="92">
        <f>99-2</f>
        <v>97</v>
      </c>
      <c r="K25" s="92">
        <v>125</v>
      </c>
      <c r="L25" s="92">
        <v>75</v>
      </c>
      <c r="M25" s="93">
        <f>SUM(F25:L25)</f>
        <v>667</v>
      </c>
    </row>
    <row r="26" spans="2:14" ht="12" customHeight="1">
      <c r="B26" s="95"/>
      <c r="C26" s="96" t="s">
        <v>52</v>
      </c>
      <c r="D26" s="91" t="s">
        <v>114</v>
      </c>
      <c r="E26" s="97">
        <v>-284</v>
      </c>
      <c r="F26" s="97">
        <v>-68</v>
      </c>
      <c r="G26" s="97">
        <v>0</v>
      </c>
      <c r="H26" s="97">
        <v>13</v>
      </c>
      <c r="I26" s="97">
        <v>-2</v>
      </c>
      <c r="J26" s="97">
        <v>0</v>
      </c>
      <c r="K26" s="97">
        <v>0</v>
      </c>
      <c r="L26" s="97">
        <v>0</v>
      </c>
      <c r="M26" s="98">
        <v>-57</v>
      </c>
    </row>
    <row r="27" spans="2:14" ht="24">
      <c r="B27" s="95"/>
      <c r="C27" s="96" t="s">
        <v>142</v>
      </c>
      <c r="D27" s="91" t="s">
        <v>115</v>
      </c>
      <c r="E27" s="99">
        <v>0</v>
      </c>
      <c r="F27" s="99">
        <v>0</v>
      </c>
      <c r="G27" s="99">
        <v>0</v>
      </c>
      <c r="H27" s="99">
        <v>-12</v>
      </c>
      <c r="I27" s="99">
        <v>0</v>
      </c>
      <c r="J27" s="99">
        <v>6</v>
      </c>
      <c r="K27" s="99">
        <v>-2</v>
      </c>
      <c r="L27" s="99">
        <v>-9</v>
      </c>
      <c r="M27" s="100">
        <v>-17</v>
      </c>
    </row>
    <row r="28" spans="2:14">
      <c r="B28" s="95"/>
      <c r="C28" s="96" t="s">
        <v>123</v>
      </c>
      <c r="D28" s="101" t="s">
        <v>116</v>
      </c>
      <c r="E28" s="99">
        <v>0</v>
      </c>
      <c r="F28" s="99">
        <v>0</v>
      </c>
      <c r="G28" s="99">
        <v>0</v>
      </c>
      <c r="H28" s="99">
        <v>0</v>
      </c>
      <c r="I28" s="99">
        <v>0</v>
      </c>
      <c r="J28" s="99">
        <v>0</v>
      </c>
      <c r="K28" s="99">
        <v>0</v>
      </c>
      <c r="L28" s="99">
        <v>-1</v>
      </c>
      <c r="M28" s="100">
        <v>-1</v>
      </c>
    </row>
    <row r="29" spans="2:14">
      <c r="B29" s="95"/>
      <c r="C29" s="96" t="s">
        <v>179</v>
      </c>
      <c r="D29" s="91" t="s">
        <v>124</v>
      </c>
      <c r="E29" s="209">
        <v>0</v>
      </c>
      <c r="F29" s="209">
        <v>-1</v>
      </c>
      <c r="G29" s="209">
        <v>0</v>
      </c>
      <c r="H29" s="209">
        <v>0</v>
      </c>
      <c r="I29" s="209">
        <v>-9</v>
      </c>
      <c r="J29" s="209">
        <v>0</v>
      </c>
      <c r="K29" s="209">
        <v>0</v>
      </c>
      <c r="L29" s="209">
        <v>0</v>
      </c>
      <c r="M29" s="210">
        <v>-10</v>
      </c>
    </row>
    <row r="30" spans="2:14" ht="12.75" thickBot="1">
      <c r="B30" s="697" t="s">
        <v>118</v>
      </c>
      <c r="C30" s="698"/>
      <c r="D30" s="102"/>
      <c r="E30" s="103">
        <v>683</v>
      </c>
      <c r="F30" s="103">
        <v>166</v>
      </c>
      <c r="G30" s="103">
        <v>55</v>
      </c>
      <c r="H30" s="103">
        <v>52</v>
      </c>
      <c r="I30" s="103">
        <v>18</v>
      </c>
      <c r="J30" s="103">
        <v>103</v>
      </c>
      <c r="K30" s="103">
        <v>123</v>
      </c>
      <c r="L30" s="103">
        <v>65</v>
      </c>
      <c r="M30" s="104">
        <v>582</v>
      </c>
    </row>
    <row r="31" spans="2:14" ht="4.5" customHeight="1" thickTop="1" thickBot="1">
      <c r="B31" s="105"/>
      <c r="C31" s="106"/>
      <c r="D31" s="107"/>
      <c r="E31" s="106"/>
      <c r="F31" s="108"/>
      <c r="G31" s="108"/>
      <c r="H31" s="108"/>
      <c r="I31" s="108"/>
      <c r="J31" s="108"/>
      <c r="K31" s="108"/>
      <c r="L31" s="108"/>
      <c r="M31" s="109"/>
    </row>
    <row r="32" spans="2:14" ht="13.5" thickBot="1">
      <c r="B32" s="147"/>
      <c r="C32" s="148"/>
      <c r="D32" s="149"/>
      <c r="E32" s="148"/>
      <c r="F32" s="148"/>
      <c r="G32" s="148"/>
      <c r="H32" s="148"/>
      <c r="I32" s="148"/>
      <c r="J32" s="148"/>
      <c r="K32" s="148"/>
      <c r="L32" s="148"/>
      <c r="M32" s="148"/>
    </row>
    <row r="33" spans="2:13" ht="60">
      <c r="B33" s="704" t="s">
        <v>141</v>
      </c>
      <c r="C33" s="705"/>
      <c r="D33" s="113"/>
      <c r="E33" s="114" t="s">
        <v>125</v>
      </c>
      <c r="F33" s="114" t="s">
        <v>126</v>
      </c>
      <c r="G33" s="114" t="s">
        <v>121</v>
      </c>
      <c r="H33" s="115" t="s">
        <v>122</v>
      </c>
      <c r="I33" s="150"/>
      <c r="J33" s="151"/>
      <c r="K33" s="152"/>
      <c r="L33" s="147"/>
      <c r="M33" s="147"/>
    </row>
    <row r="34" spans="2:13" ht="12.75">
      <c r="B34" s="695" t="s">
        <v>112</v>
      </c>
      <c r="C34" s="696"/>
      <c r="D34" s="119"/>
      <c r="E34" s="120">
        <v>300</v>
      </c>
      <c r="F34" s="120">
        <v>219</v>
      </c>
      <c r="G34" s="121">
        <v>0.17635222099911163</v>
      </c>
      <c r="H34" s="122">
        <v>0.17414140342614404</v>
      </c>
      <c r="I34" s="153"/>
      <c r="J34" s="154"/>
      <c r="K34" s="152"/>
      <c r="L34" s="147"/>
      <c r="M34" s="147"/>
    </row>
    <row r="35" spans="2:13" ht="12" customHeight="1">
      <c r="B35" s="95"/>
      <c r="C35" s="96" t="s">
        <v>52</v>
      </c>
      <c r="D35" s="119" t="s">
        <v>114</v>
      </c>
      <c r="E35" s="125">
        <v>-227</v>
      </c>
      <c r="F35" s="126">
        <v>-165</v>
      </c>
      <c r="G35" s="127">
        <v>-0.13296949690624998</v>
      </c>
      <c r="H35" s="128">
        <v>-0.13131570573786891</v>
      </c>
      <c r="I35" s="153"/>
      <c r="J35" s="153"/>
      <c r="K35" s="153"/>
      <c r="L35" s="153"/>
      <c r="M35" s="155"/>
    </row>
    <row r="36" spans="2:13" ht="24">
      <c r="B36" s="95"/>
      <c r="C36" s="96" t="s">
        <v>142</v>
      </c>
      <c r="D36" s="119" t="s">
        <v>115</v>
      </c>
      <c r="E36" s="125">
        <v>17</v>
      </c>
      <c r="F36" s="126">
        <v>12</v>
      </c>
      <c r="G36" s="127">
        <v>9.709487035933724E-3</v>
      </c>
      <c r="H36" s="128">
        <v>9.5887265285757167E-3</v>
      </c>
      <c r="I36" s="156"/>
      <c r="J36" s="156"/>
      <c r="K36" s="155"/>
      <c r="L36" s="155"/>
      <c r="M36" s="155"/>
    </row>
    <row r="37" spans="2:13" ht="12.75">
      <c r="B37" s="95"/>
      <c r="C37" s="96" t="s">
        <v>123</v>
      </c>
      <c r="D37" s="131" t="s">
        <v>116</v>
      </c>
      <c r="E37" s="125">
        <v>1</v>
      </c>
      <c r="F37" s="126">
        <v>0</v>
      </c>
      <c r="G37" s="157">
        <v>0</v>
      </c>
      <c r="H37" s="133">
        <v>0</v>
      </c>
      <c r="I37" s="158"/>
      <c r="J37" s="158"/>
      <c r="K37" s="159"/>
      <c r="L37" s="155"/>
      <c r="M37" s="155"/>
    </row>
    <row r="38" spans="2:13" ht="12.75">
      <c r="B38" s="95"/>
      <c r="C38" s="96" t="s">
        <v>143</v>
      </c>
      <c r="D38" s="119" t="s">
        <v>124</v>
      </c>
      <c r="E38" s="125">
        <v>10</v>
      </c>
      <c r="F38" s="126">
        <v>6</v>
      </c>
      <c r="G38" s="136">
        <v>4.8293850201945451E-3</v>
      </c>
      <c r="H38" s="128">
        <v>4.7693201595991816E-3</v>
      </c>
      <c r="I38" s="158"/>
      <c r="J38" s="158"/>
      <c r="K38" s="159"/>
      <c r="L38" s="155"/>
      <c r="M38" s="155"/>
    </row>
    <row r="39" spans="2:13" ht="13.5" thickBot="1">
      <c r="B39" s="697" t="s">
        <v>118</v>
      </c>
      <c r="C39" s="698"/>
      <c r="D39" s="137"/>
      <c r="E39" s="138">
        <v>101</v>
      </c>
      <c r="F39" s="138">
        <v>72</v>
      </c>
      <c r="G39" s="139">
        <v>5.8184469364824298E-2</v>
      </c>
      <c r="H39" s="140">
        <v>5.7460807443772369E-2</v>
      </c>
      <c r="I39" s="160"/>
      <c r="J39" s="148"/>
      <c r="K39" s="148"/>
      <c r="L39" s="148"/>
    </row>
    <row r="40" spans="2:13" ht="4.5" customHeight="1" thickTop="1" thickBot="1">
      <c r="B40" s="142"/>
      <c r="C40" s="143"/>
      <c r="D40" s="144"/>
      <c r="E40" s="145"/>
      <c r="F40" s="145"/>
      <c r="G40" s="145"/>
      <c r="H40" s="146"/>
      <c r="I40" s="147"/>
      <c r="J40" s="148"/>
      <c r="K40" s="148"/>
      <c r="L40" s="148"/>
    </row>
    <row r="41" spans="2:13" ht="12.75" thickBot="1"/>
    <row r="42" spans="2:13" ht="60">
      <c r="B42" s="704" t="s">
        <v>37</v>
      </c>
      <c r="C42" s="705"/>
      <c r="D42" s="87"/>
      <c r="E42" s="88" t="s">
        <v>104</v>
      </c>
      <c r="F42" s="88" t="s">
        <v>105</v>
      </c>
      <c r="G42" s="88" t="s">
        <v>314</v>
      </c>
      <c r="H42" s="88" t="s">
        <v>106</v>
      </c>
      <c r="I42" s="88" t="s">
        <v>107</v>
      </c>
      <c r="J42" s="88" t="s">
        <v>108</v>
      </c>
      <c r="K42" s="88" t="s">
        <v>109</v>
      </c>
      <c r="L42" s="88" t="s">
        <v>110</v>
      </c>
      <c r="M42" s="89" t="s">
        <v>111</v>
      </c>
    </row>
    <row r="43" spans="2:13">
      <c r="B43" s="706" t="s">
        <v>112</v>
      </c>
      <c r="C43" s="707"/>
      <c r="D43" s="91"/>
      <c r="E43" s="92">
        <v>745</v>
      </c>
      <c r="F43" s="92">
        <v>194</v>
      </c>
      <c r="G43" s="92">
        <f>61+3</f>
        <v>64</v>
      </c>
      <c r="H43" s="92">
        <v>61</v>
      </c>
      <c r="I43" s="92">
        <v>33</v>
      </c>
      <c r="J43" s="92">
        <f>118-3</f>
        <v>115</v>
      </c>
      <c r="K43" s="92">
        <v>110</v>
      </c>
      <c r="L43" s="92">
        <v>113</v>
      </c>
      <c r="M43" s="93">
        <v>690</v>
      </c>
    </row>
    <row r="44" spans="2:13" ht="12" customHeight="1">
      <c r="B44" s="95"/>
      <c r="C44" s="96" t="s">
        <v>52</v>
      </c>
      <c r="D44" s="91" t="s">
        <v>114</v>
      </c>
      <c r="E44" s="97">
        <v>112</v>
      </c>
      <c r="F44" s="97">
        <v>3</v>
      </c>
      <c r="G44" s="97">
        <v>0</v>
      </c>
      <c r="H44" s="97">
        <v>8</v>
      </c>
      <c r="I44" s="97">
        <v>4</v>
      </c>
      <c r="J44" s="97">
        <v>0</v>
      </c>
      <c r="K44" s="97">
        <v>0</v>
      </c>
      <c r="L44" s="97">
        <v>0</v>
      </c>
      <c r="M44" s="98">
        <v>15</v>
      </c>
    </row>
    <row r="45" spans="2:13">
      <c r="B45" s="95"/>
      <c r="C45" s="96" t="s">
        <v>53</v>
      </c>
      <c r="D45" s="91" t="s">
        <v>115</v>
      </c>
      <c r="E45" s="99">
        <v>0</v>
      </c>
      <c r="F45" s="99">
        <v>0</v>
      </c>
      <c r="G45" s="99">
        <v>0</v>
      </c>
      <c r="H45" s="99">
        <v>-11</v>
      </c>
      <c r="I45" s="99">
        <v>0</v>
      </c>
      <c r="J45" s="99">
        <v>-6</v>
      </c>
      <c r="K45" s="99">
        <v>-2</v>
      </c>
      <c r="L45" s="99">
        <v>-15</v>
      </c>
      <c r="M45" s="100">
        <v>-34</v>
      </c>
    </row>
    <row r="46" spans="2:13" ht="24">
      <c r="B46" s="95"/>
      <c r="C46" s="96" t="s">
        <v>55</v>
      </c>
      <c r="D46" s="91" t="s">
        <v>117</v>
      </c>
      <c r="E46" s="209">
        <v>0</v>
      </c>
      <c r="F46" s="209">
        <v>-1</v>
      </c>
      <c r="G46" s="209">
        <v>0</v>
      </c>
      <c r="H46" s="209">
        <v>-5</v>
      </c>
      <c r="I46" s="209">
        <v>-12</v>
      </c>
      <c r="J46" s="209">
        <v>0</v>
      </c>
      <c r="K46" s="209">
        <v>0</v>
      </c>
      <c r="L46" s="209">
        <v>0</v>
      </c>
      <c r="M46" s="210">
        <v>-18</v>
      </c>
    </row>
    <row r="47" spans="2:13" ht="12.75" thickBot="1">
      <c r="B47" s="697" t="s">
        <v>118</v>
      </c>
      <c r="C47" s="698"/>
      <c r="D47" s="102"/>
      <c r="E47" s="103">
        <v>857</v>
      </c>
      <c r="F47" s="103">
        <v>196</v>
      </c>
      <c r="G47" s="103">
        <v>64</v>
      </c>
      <c r="H47" s="103">
        <v>53</v>
      </c>
      <c r="I47" s="103">
        <v>25</v>
      </c>
      <c r="J47" s="103">
        <v>109</v>
      </c>
      <c r="K47" s="103">
        <v>108</v>
      </c>
      <c r="L47" s="103">
        <v>98</v>
      </c>
      <c r="M47" s="104">
        <v>653</v>
      </c>
    </row>
    <row r="48" spans="2:13" ht="4.5" customHeight="1" thickTop="1" thickBot="1">
      <c r="B48" s="105"/>
      <c r="C48" s="106"/>
      <c r="D48" s="107"/>
      <c r="E48" s="106"/>
      <c r="F48" s="108"/>
      <c r="G48" s="108"/>
      <c r="H48" s="108"/>
      <c r="I48" s="108"/>
      <c r="J48" s="108"/>
      <c r="K48" s="108"/>
      <c r="L48" s="108"/>
      <c r="M48" s="109"/>
    </row>
    <row r="49" spans="2:14" ht="12.75" thickBot="1">
      <c r="B49" s="161"/>
      <c r="C49" s="162"/>
      <c r="D49" s="163"/>
      <c r="E49" s="164"/>
      <c r="F49" s="164"/>
      <c r="G49" s="164"/>
      <c r="H49" s="164"/>
      <c r="I49" s="164"/>
      <c r="J49" s="164"/>
      <c r="K49" s="164"/>
      <c r="L49" s="164"/>
      <c r="M49" s="164"/>
    </row>
    <row r="50" spans="2:14" ht="48">
      <c r="B50" s="704" t="s">
        <v>37</v>
      </c>
      <c r="C50" s="705"/>
      <c r="D50" s="113"/>
      <c r="E50" s="114" t="s">
        <v>125</v>
      </c>
      <c r="F50" s="114" t="s">
        <v>126</v>
      </c>
      <c r="G50" s="114" t="s">
        <v>127</v>
      </c>
      <c r="H50" s="115" t="s">
        <v>128</v>
      </c>
      <c r="I50" s="165"/>
      <c r="J50" s="166"/>
      <c r="K50" s="167"/>
      <c r="L50" s="168"/>
      <c r="M50" s="168"/>
    </row>
    <row r="51" spans="2:14">
      <c r="B51" s="695" t="s">
        <v>112</v>
      </c>
      <c r="C51" s="696"/>
      <c r="D51" s="119"/>
      <c r="E51" s="120">
        <v>55</v>
      </c>
      <c r="F51" s="120">
        <v>51</v>
      </c>
      <c r="G51" s="121">
        <v>4.1642141444601218E-2</v>
      </c>
      <c r="H51" s="122">
        <v>4.1136438942310484E-2</v>
      </c>
      <c r="I51" s="169"/>
      <c r="J51" s="170"/>
      <c r="K51" s="167"/>
      <c r="L51" s="168"/>
      <c r="M51" s="168"/>
    </row>
    <row r="52" spans="2:14" ht="12" customHeight="1">
      <c r="B52" s="95"/>
      <c r="C52" s="96" t="s">
        <v>52</v>
      </c>
      <c r="D52" s="119" t="s">
        <v>114</v>
      </c>
      <c r="E52" s="125">
        <v>97</v>
      </c>
      <c r="F52" s="126">
        <v>81</v>
      </c>
      <c r="G52" s="127">
        <v>7.0000000000000007E-2</v>
      </c>
      <c r="H52" s="128">
        <v>7.0000000000000007E-2</v>
      </c>
      <c r="I52" s="169"/>
      <c r="J52" s="169"/>
      <c r="K52" s="169"/>
      <c r="L52" s="169"/>
      <c r="M52" s="171"/>
    </row>
    <row r="53" spans="2:14">
      <c r="B53" s="95"/>
      <c r="C53" s="96" t="s">
        <v>53</v>
      </c>
      <c r="D53" s="119" t="s">
        <v>115</v>
      </c>
      <c r="E53" s="125">
        <v>34</v>
      </c>
      <c r="F53" s="126">
        <v>21</v>
      </c>
      <c r="G53" s="127">
        <v>0.02</v>
      </c>
      <c r="H53" s="128">
        <v>0.02</v>
      </c>
      <c r="I53" s="172"/>
      <c r="J53" s="172"/>
      <c r="K53" s="171"/>
      <c r="L53" s="171"/>
      <c r="M53" s="171"/>
    </row>
    <row r="54" spans="2:14" ht="24">
      <c r="B54" s="95"/>
      <c r="C54" s="96" t="s">
        <v>55</v>
      </c>
      <c r="D54" s="119" t="s">
        <v>117</v>
      </c>
      <c r="E54" s="125">
        <v>18</v>
      </c>
      <c r="F54" s="126">
        <v>-5</v>
      </c>
      <c r="G54" s="136">
        <v>0</v>
      </c>
      <c r="H54" s="128">
        <v>0</v>
      </c>
      <c r="I54" s="173"/>
      <c r="J54" s="173"/>
      <c r="K54" s="174"/>
      <c r="L54" s="171"/>
      <c r="M54" s="171"/>
    </row>
    <row r="55" spans="2:14" ht="12.75" thickBot="1">
      <c r="B55" s="697" t="s">
        <v>118</v>
      </c>
      <c r="C55" s="698"/>
      <c r="D55" s="137"/>
      <c r="E55" s="138">
        <v>204</v>
      </c>
      <c r="F55" s="138">
        <v>148</v>
      </c>
      <c r="G55" s="139">
        <v>0.12</v>
      </c>
      <c r="H55" s="140">
        <v>0.12</v>
      </c>
      <c r="I55" s="175"/>
      <c r="J55" s="164"/>
      <c r="K55" s="164"/>
      <c r="L55" s="164"/>
      <c r="M55" s="164"/>
    </row>
    <row r="56" spans="2:14" ht="4.5" customHeight="1" thickTop="1" thickBot="1">
      <c r="B56" s="142"/>
      <c r="C56" s="143"/>
      <c r="D56" s="144"/>
      <c r="E56" s="145"/>
      <c r="F56" s="145"/>
      <c r="G56" s="145"/>
      <c r="H56" s="146"/>
      <c r="I56" s="168"/>
      <c r="J56" s="164"/>
      <c r="K56" s="164"/>
      <c r="L56" s="164"/>
      <c r="M56" s="164"/>
    </row>
    <row r="57" spans="2:14" ht="12.75" thickBot="1">
      <c r="B57" s="110"/>
      <c r="C57" s="110"/>
      <c r="D57" s="176"/>
      <c r="E57" s="110"/>
      <c r="F57" s="110"/>
      <c r="G57" s="110"/>
      <c r="H57" s="110"/>
      <c r="I57" s="168"/>
      <c r="J57" s="164"/>
      <c r="K57" s="164"/>
      <c r="L57" s="164"/>
    </row>
    <row r="58" spans="2:14" ht="60">
      <c r="B58" s="177" t="s">
        <v>39</v>
      </c>
      <c r="C58" s="178"/>
      <c r="D58" s="179"/>
      <c r="E58" s="88" t="s">
        <v>104</v>
      </c>
      <c r="F58" s="88" t="s">
        <v>105</v>
      </c>
      <c r="G58" s="88" t="s">
        <v>314</v>
      </c>
      <c r="H58" s="88" t="s">
        <v>106</v>
      </c>
      <c r="I58" s="88" t="s">
        <v>107</v>
      </c>
      <c r="J58" s="88" t="s">
        <v>108</v>
      </c>
      <c r="K58" s="88" t="s">
        <v>109</v>
      </c>
      <c r="L58" s="88" t="s">
        <v>110</v>
      </c>
      <c r="M58" s="88" t="s">
        <v>133</v>
      </c>
      <c r="N58" s="89" t="s">
        <v>111</v>
      </c>
    </row>
    <row r="59" spans="2:14">
      <c r="B59" s="180" t="s">
        <v>112</v>
      </c>
      <c r="C59" s="181"/>
      <c r="D59" s="182"/>
      <c r="E59" s="120">
        <v>1427</v>
      </c>
      <c r="F59" s="120">
        <v>585</v>
      </c>
      <c r="G59" s="120">
        <f>73+3</f>
        <v>76</v>
      </c>
      <c r="H59" s="120">
        <v>128</v>
      </c>
      <c r="I59" s="120">
        <v>92</v>
      </c>
      <c r="J59" s="120">
        <f>273-3</f>
        <v>270</v>
      </c>
      <c r="K59" s="120">
        <v>225</v>
      </c>
      <c r="L59" s="120">
        <v>122</v>
      </c>
      <c r="M59" s="120">
        <v>326</v>
      </c>
      <c r="N59" s="183">
        <f t="shared" ref="N59:N64" si="1">SUM(F59:M59)</f>
        <v>1824</v>
      </c>
    </row>
    <row r="60" spans="2:14" ht="12" customHeight="1">
      <c r="B60" s="95"/>
      <c r="C60" s="96" t="s">
        <v>52</v>
      </c>
      <c r="D60" s="119" t="s">
        <v>114</v>
      </c>
      <c r="E60" s="126">
        <v>1121</v>
      </c>
      <c r="F60" s="126">
        <v>200</v>
      </c>
      <c r="G60" s="132">
        <v>0</v>
      </c>
      <c r="H60" s="126">
        <v>45</v>
      </c>
      <c r="I60" s="126">
        <v>17</v>
      </c>
      <c r="J60" s="132">
        <v>0</v>
      </c>
      <c r="K60" s="132">
        <v>0</v>
      </c>
      <c r="L60" s="132">
        <v>0</v>
      </c>
      <c r="M60" s="132">
        <v>0</v>
      </c>
      <c r="N60" s="184">
        <f t="shared" si="1"/>
        <v>262</v>
      </c>
    </row>
    <row r="61" spans="2:14">
      <c r="B61" s="95"/>
      <c r="C61" s="96" t="s">
        <v>53</v>
      </c>
      <c r="D61" s="119" t="s">
        <v>115</v>
      </c>
      <c r="E61" s="185">
        <v>0</v>
      </c>
      <c r="F61" s="132">
        <v>0</v>
      </c>
      <c r="G61" s="132">
        <v>0</v>
      </c>
      <c r="H61" s="126">
        <f>+-14</f>
        <v>-14</v>
      </c>
      <c r="I61" s="132">
        <v>0</v>
      </c>
      <c r="J61" s="126">
        <v>-8</v>
      </c>
      <c r="K61" s="126">
        <v>-2</v>
      </c>
      <c r="L61" s="126">
        <v>-13</v>
      </c>
      <c r="M61" s="132">
        <v>0</v>
      </c>
      <c r="N61" s="184">
        <f t="shared" si="1"/>
        <v>-37</v>
      </c>
    </row>
    <row r="62" spans="2:14">
      <c r="B62" s="95"/>
      <c r="C62" s="96" t="s">
        <v>123</v>
      </c>
      <c r="D62" s="119" t="s">
        <v>116</v>
      </c>
      <c r="E62" s="132">
        <v>0</v>
      </c>
      <c r="F62" s="132">
        <v>0</v>
      </c>
      <c r="G62" s="132">
        <v>0</v>
      </c>
      <c r="H62" s="132">
        <v>0</v>
      </c>
      <c r="I62" s="132">
        <v>0</v>
      </c>
      <c r="J62" s="132">
        <v>0</v>
      </c>
      <c r="K62" s="132">
        <v>0</v>
      </c>
      <c r="L62" s="126">
        <v>1</v>
      </c>
      <c r="M62" s="132">
        <v>0</v>
      </c>
      <c r="N62" s="184">
        <f t="shared" si="1"/>
        <v>1</v>
      </c>
    </row>
    <row r="63" spans="2:14" ht="24">
      <c r="B63" s="95"/>
      <c r="C63" s="96" t="s">
        <v>55</v>
      </c>
      <c r="D63" s="91" t="s">
        <v>117</v>
      </c>
      <c r="E63" s="157">
        <v>0</v>
      </c>
      <c r="F63" s="126">
        <v>-2</v>
      </c>
      <c r="G63" s="132">
        <v>0</v>
      </c>
      <c r="H63" s="126">
        <v>-6</v>
      </c>
      <c r="I63" s="126">
        <v>-69</v>
      </c>
      <c r="J63" s="132">
        <v>0</v>
      </c>
      <c r="K63" s="132">
        <v>0</v>
      </c>
      <c r="L63" s="132">
        <v>0</v>
      </c>
      <c r="M63" s="132">
        <v>0</v>
      </c>
      <c r="N63" s="184">
        <f t="shared" si="1"/>
        <v>-77</v>
      </c>
    </row>
    <row r="64" spans="2:14">
      <c r="B64" s="95"/>
      <c r="C64" s="96" t="s">
        <v>56</v>
      </c>
      <c r="D64" s="119" t="s">
        <v>180</v>
      </c>
      <c r="E64" s="132">
        <v>0</v>
      </c>
      <c r="F64" s="132">
        <v>0</v>
      </c>
      <c r="G64" s="132">
        <v>0</v>
      </c>
      <c r="H64" s="132">
        <v>0</v>
      </c>
      <c r="I64" s="132">
        <v>0</v>
      </c>
      <c r="J64" s="132">
        <v>0</v>
      </c>
      <c r="K64" s="132">
        <v>0</v>
      </c>
      <c r="L64" s="132">
        <v>0</v>
      </c>
      <c r="M64" s="126">
        <v>-326</v>
      </c>
      <c r="N64" s="184">
        <f t="shared" si="1"/>
        <v>-326</v>
      </c>
    </row>
    <row r="65" spans="2:14" ht="12.75" thickBot="1">
      <c r="B65" s="186" t="s">
        <v>118</v>
      </c>
      <c r="C65" s="187"/>
      <c r="D65" s="188"/>
      <c r="E65" s="138">
        <f t="shared" ref="E65:N65" si="2">SUM(E59:E64)</f>
        <v>2548</v>
      </c>
      <c r="F65" s="138">
        <f t="shared" si="2"/>
        <v>783</v>
      </c>
      <c r="G65" s="138">
        <f t="shared" si="2"/>
        <v>76</v>
      </c>
      <c r="H65" s="138">
        <f t="shared" si="2"/>
        <v>153</v>
      </c>
      <c r="I65" s="138">
        <f t="shared" si="2"/>
        <v>40</v>
      </c>
      <c r="J65" s="138">
        <f t="shared" si="2"/>
        <v>262</v>
      </c>
      <c r="K65" s="138">
        <f t="shared" si="2"/>
        <v>223</v>
      </c>
      <c r="L65" s="138">
        <f t="shared" si="2"/>
        <v>110</v>
      </c>
      <c r="M65" s="138">
        <f t="shared" si="2"/>
        <v>0</v>
      </c>
      <c r="N65" s="189">
        <f t="shared" si="2"/>
        <v>1647</v>
      </c>
    </row>
    <row r="66" spans="2:14" ht="4.5" customHeight="1" thickTop="1" thickBot="1">
      <c r="B66" s="190"/>
      <c r="C66" s="191"/>
      <c r="D66" s="192"/>
      <c r="E66" s="191"/>
      <c r="F66" s="108"/>
      <c r="G66" s="108"/>
      <c r="H66" s="108"/>
      <c r="I66" s="108"/>
      <c r="J66" s="108"/>
      <c r="K66" s="108"/>
      <c r="L66" s="108"/>
      <c r="M66" s="108"/>
      <c r="N66" s="109"/>
    </row>
    <row r="67" spans="2:14" ht="12.75" thickBot="1">
      <c r="B67" s="193"/>
      <c r="C67" s="194"/>
      <c r="D67" s="195"/>
      <c r="E67" s="194"/>
      <c r="F67" s="194"/>
      <c r="G67" s="194"/>
      <c r="H67" s="194"/>
      <c r="I67" s="194"/>
      <c r="J67" s="194"/>
      <c r="K67" s="194"/>
      <c r="L67" s="194"/>
      <c r="M67" s="194"/>
      <c r="N67" s="194"/>
    </row>
    <row r="68" spans="2:14" ht="60">
      <c r="B68" s="196" t="str">
        <f>B58</f>
        <v>Three Months Ended December 31, 2010</v>
      </c>
      <c r="C68" s="197"/>
      <c r="D68" s="113"/>
      <c r="E68" s="114" t="s">
        <v>119</v>
      </c>
      <c r="F68" s="114" t="s">
        <v>120</v>
      </c>
      <c r="G68" s="114" t="s">
        <v>121</v>
      </c>
      <c r="H68" s="115" t="s">
        <v>122</v>
      </c>
      <c r="I68" s="165"/>
      <c r="J68" s="166"/>
      <c r="K68" s="167"/>
      <c r="L68" s="168"/>
      <c r="M68" s="168"/>
      <c r="N68" s="168"/>
    </row>
    <row r="69" spans="2:14">
      <c r="B69" s="180" t="s">
        <v>112</v>
      </c>
      <c r="C69" s="181"/>
      <c r="D69" s="119"/>
      <c r="E69" s="120">
        <f t="shared" ref="E69:E74" si="3">E59-N59</f>
        <v>-397</v>
      </c>
      <c r="F69" s="120">
        <v>-233</v>
      </c>
      <c r="G69" s="121">
        <v>-0.2</v>
      </c>
      <c r="H69" s="122">
        <v>-0.2</v>
      </c>
      <c r="I69" s="169"/>
      <c r="J69" s="170"/>
      <c r="K69" s="167"/>
      <c r="L69" s="168"/>
      <c r="M69" s="168"/>
      <c r="N69" s="168"/>
    </row>
    <row r="70" spans="2:14" ht="12" customHeight="1">
      <c r="B70" s="95"/>
      <c r="C70" s="96" t="s">
        <v>52</v>
      </c>
      <c r="D70" s="119" t="s">
        <v>114</v>
      </c>
      <c r="E70" s="125">
        <f t="shared" si="3"/>
        <v>859</v>
      </c>
      <c r="F70" s="126">
        <v>628</v>
      </c>
      <c r="G70" s="127">
        <v>0.52</v>
      </c>
      <c r="H70" s="128">
        <v>0.51</v>
      </c>
      <c r="I70" s="169"/>
      <c r="J70" s="169"/>
      <c r="K70" s="169"/>
      <c r="L70" s="169"/>
      <c r="M70" s="169"/>
      <c r="N70" s="171"/>
    </row>
    <row r="71" spans="2:14">
      <c r="B71" s="95"/>
      <c r="C71" s="96" t="s">
        <v>53</v>
      </c>
      <c r="D71" s="119" t="s">
        <v>115</v>
      </c>
      <c r="E71" s="125">
        <f t="shared" si="3"/>
        <v>37</v>
      </c>
      <c r="F71" s="126">
        <v>24</v>
      </c>
      <c r="G71" s="127">
        <v>0.02</v>
      </c>
      <c r="H71" s="128">
        <v>0.02</v>
      </c>
      <c r="I71" s="172"/>
      <c r="J71" s="172"/>
      <c r="K71" s="171"/>
      <c r="L71" s="171"/>
      <c r="M71" s="171"/>
      <c r="N71" s="171"/>
    </row>
    <row r="72" spans="2:14">
      <c r="B72" s="95"/>
      <c r="C72" s="96" t="s">
        <v>123</v>
      </c>
      <c r="D72" s="119" t="s">
        <v>116</v>
      </c>
      <c r="E72" s="125">
        <f t="shared" si="3"/>
        <v>-1</v>
      </c>
      <c r="F72" s="132">
        <v>0</v>
      </c>
      <c r="G72" s="132">
        <v>0</v>
      </c>
      <c r="H72" s="133">
        <v>0</v>
      </c>
      <c r="I72" s="173"/>
      <c r="J72" s="173"/>
      <c r="K72" s="174"/>
      <c r="L72" s="171"/>
      <c r="M72" s="171"/>
      <c r="N72" s="171"/>
    </row>
    <row r="73" spans="2:14" ht="24">
      <c r="B73" s="95"/>
      <c r="C73" s="96" t="s">
        <v>55</v>
      </c>
      <c r="D73" s="91" t="s">
        <v>117</v>
      </c>
      <c r="E73" s="198">
        <f t="shared" si="3"/>
        <v>77</v>
      </c>
      <c r="F73" s="126">
        <v>38</v>
      </c>
      <c r="G73" s="127">
        <v>0.03</v>
      </c>
      <c r="H73" s="128">
        <v>0.03</v>
      </c>
      <c r="I73" s="173"/>
      <c r="J73" s="173"/>
      <c r="K73" s="174"/>
      <c r="L73" s="171"/>
      <c r="M73" s="171"/>
      <c r="N73" s="171"/>
    </row>
    <row r="74" spans="2:14">
      <c r="B74" s="95"/>
      <c r="C74" s="96" t="s">
        <v>56</v>
      </c>
      <c r="D74" s="119" t="s">
        <v>180</v>
      </c>
      <c r="E74" s="125">
        <f t="shared" si="3"/>
        <v>326</v>
      </c>
      <c r="F74" s="126">
        <v>198</v>
      </c>
      <c r="G74" s="136">
        <v>0.16</v>
      </c>
      <c r="H74" s="199">
        <v>0.16</v>
      </c>
      <c r="I74" s="173"/>
      <c r="J74" s="173"/>
      <c r="K74" s="174"/>
      <c r="L74" s="171"/>
      <c r="M74" s="171"/>
      <c r="N74" s="171"/>
    </row>
    <row r="75" spans="2:14" ht="12.75" thickBot="1">
      <c r="B75" s="186" t="s">
        <v>118</v>
      </c>
      <c r="C75" s="187"/>
      <c r="D75" s="200"/>
      <c r="E75" s="138">
        <f>SUM(E69:E74)</f>
        <v>901</v>
      </c>
      <c r="F75" s="138">
        <f>SUM(F69:F74)</f>
        <v>655</v>
      </c>
      <c r="G75" s="139">
        <v>0.54</v>
      </c>
      <c r="H75" s="140">
        <v>0.53</v>
      </c>
      <c r="I75" s="175"/>
      <c r="J75" s="164"/>
      <c r="K75" s="164"/>
      <c r="L75" s="164"/>
      <c r="M75" s="164"/>
      <c r="N75" s="164"/>
    </row>
    <row r="76" spans="2:14" ht="4.5" customHeight="1" thickTop="1" thickBot="1">
      <c r="B76" s="201"/>
      <c r="C76" s="202"/>
      <c r="D76" s="203"/>
      <c r="E76" s="204"/>
      <c r="F76" s="204"/>
      <c r="G76" s="204"/>
      <c r="H76" s="205"/>
      <c r="I76" s="168"/>
      <c r="J76" s="164"/>
      <c r="K76" s="164"/>
      <c r="L76" s="164"/>
      <c r="M76" s="164"/>
      <c r="N76" s="164"/>
    </row>
    <row r="79" spans="2:14">
      <c r="B79" s="206"/>
      <c r="C79" s="700" t="s">
        <v>129</v>
      </c>
      <c r="D79" s="700"/>
      <c r="E79" s="700"/>
      <c r="F79" s="700"/>
      <c r="G79" s="700"/>
      <c r="H79" s="700"/>
      <c r="I79" s="700"/>
      <c r="J79" s="700"/>
      <c r="K79" s="700"/>
      <c r="L79" s="700"/>
      <c r="M79" s="700"/>
      <c r="N79" s="700"/>
    </row>
    <row r="80" spans="2:14">
      <c r="B80" s="206"/>
      <c r="C80" s="701" t="s">
        <v>130</v>
      </c>
      <c r="D80" s="701"/>
      <c r="E80" s="701"/>
      <c r="F80" s="701"/>
      <c r="G80" s="701"/>
      <c r="H80" s="701"/>
      <c r="I80" s="701"/>
      <c r="J80" s="701"/>
      <c r="K80" s="701"/>
      <c r="L80" s="701"/>
      <c r="M80" s="701"/>
      <c r="N80" s="701"/>
    </row>
    <row r="81" spans="2:14">
      <c r="B81" s="207"/>
      <c r="C81" s="702" t="s">
        <v>178</v>
      </c>
      <c r="D81" s="702"/>
      <c r="E81" s="702"/>
      <c r="F81" s="702"/>
      <c r="G81" s="702"/>
      <c r="H81" s="702"/>
      <c r="I81" s="702"/>
      <c r="J81" s="702"/>
      <c r="K81" s="702"/>
      <c r="L81" s="702"/>
      <c r="M81" s="702"/>
      <c r="N81" s="702"/>
    </row>
    <row r="82" spans="2:14">
      <c r="B82" s="207"/>
      <c r="C82" s="700" t="s">
        <v>144</v>
      </c>
      <c r="D82" s="700"/>
      <c r="E82" s="700"/>
      <c r="F82" s="700"/>
      <c r="G82" s="700"/>
      <c r="H82" s="700"/>
      <c r="I82" s="700"/>
      <c r="J82" s="700"/>
      <c r="K82" s="700"/>
      <c r="L82" s="700"/>
      <c r="M82" s="700"/>
      <c r="N82" s="700"/>
    </row>
    <row r="83" spans="2:14">
      <c r="B83" s="207"/>
      <c r="C83" s="700" t="s">
        <v>140</v>
      </c>
      <c r="D83" s="700"/>
      <c r="E83" s="700"/>
      <c r="F83" s="700"/>
      <c r="G83" s="700"/>
      <c r="H83" s="700"/>
      <c r="I83" s="700"/>
      <c r="J83" s="700"/>
      <c r="K83" s="700"/>
      <c r="L83" s="700"/>
      <c r="M83" s="700"/>
      <c r="N83" s="700"/>
    </row>
    <row r="84" spans="2:14">
      <c r="B84" s="207"/>
      <c r="C84" s="700" t="s">
        <v>181</v>
      </c>
      <c r="D84" s="700"/>
      <c r="E84" s="700"/>
      <c r="F84" s="700"/>
      <c r="G84" s="700"/>
      <c r="H84" s="700"/>
      <c r="I84" s="700"/>
      <c r="J84" s="700"/>
      <c r="K84" s="700"/>
      <c r="L84" s="700"/>
      <c r="M84" s="700"/>
      <c r="N84" s="700"/>
    </row>
    <row r="85" spans="2:14">
      <c r="B85" s="207"/>
      <c r="C85" s="208"/>
      <c r="D85" s="208"/>
      <c r="E85" s="208"/>
      <c r="F85" s="208"/>
      <c r="G85" s="208"/>
      <c r="H85" s="208"/>
      <c r="I85" s="208"/>
      <c r="J85" s="208"/>
      <c r="K85" s="208"/>
      <c r="L85" s="208"/>
      <c r="M85" s="208"/>
      <c r="N85" s="208"/>
    </row>
    <row r="86" spans="2:14" ht="24" customHeight="1">
      <c r="B86" s="207"/>
      <c r="C86" s="702" t="s">
        <v>132</v>
      </c>
      <c r="D86" s="702"/>
      <c r="E86" s="702"/>
      <c r="F86" s="702"/>
      <c r="G86" s="702"/>
      <c r="H86" s="702"/>
      <c r="I86" s="702"/>
      <c r="J86" s="702"/>
      <c r="K86" s="702"/>
      <c r="L86" s="702"/>
      <c r="M86" s="702"/>
      <c r="N86" s="702"/>
    </row>
  </sheetData>
  <sheetProtection formatCells="0" formatColumns="0" formatRows="0" sort="0" autoFilter="0" pivotTables="0"/>
  <mergeCells count="28">
    <mergeCell ref="B12:C12"/>
    <mergeCell ref="B15:C15"/>
    <mergeCell ref="C84:N84"/>
    <mergeCell ref="B51:C51"/>
    <mergeCell ref="B55:C55"/>
    <mergeCell ref="B42:C42"/>
    <mergeCell ref="C83:N83"/>
    <mergeCell ref="B43:C43"/>
    <mergeCell ref="B47:C47"/>
    <mergeCell ref="B50:C50"/>
    <mergeCell ref="C82:N82"/>
    <mergeCell ref="B1:N1"/>
    <mergeCell ref="B2:N2"/>
    <mergeCell ref="B3:N3"/>
    <mergeCell ref="B7:C7"/>
    <mergeCell ref="B6:C6"/>
    <mergeCell ref="C86:N86"/>
    <mergeCell ref="B16:C16"/>
    <mergeCell ref="B21:C21"/>
    <mergeCell ref="C79:N79"/>
    <mergeCell ref="C80:N80"/>
    <mergeCell ref="C81:N81"/>
    <mergeCell ref="B24:C24"/>
    <mergeCell ref="B25:C25"/>
    <mergeCell ref="B30:C30"/>
    <mergeCell ref="B33:C33"/>
    <mergeCell ref="B34:C34"/>
    <mergeCell ref="B39:C39"/>
  </mergeCells>
  <pageMargins left="0.7" right="0.7" top="0.25" bottom="0.44" header="0.3" footer="0.3"/>
  <pageSetup scale="37" orientation="landscape" r:id="rId1"/>
  <headerFooter>
    <oddFooter>&amp;LActivision Blizzard, Inc.&amp;R&amp;P of &amp; 25</oddFooter>
  </headerFooter>
  <rowBreaks count="1" manualBreakCount="1">
    <brk id="41" min="1"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B1:O92"/>
  <sheetViews>
    <sheetView view="pageBreakPreview" zoomScale="70" zoomScaleNormal="100" zoomScaleSheetLayoutView="70" workbookViewId="0"/>
  </sheetViews>
  <sheetFormatPr defaultColWidth="9.140625" defaultRowHeight="12"/>
  <cols>
    <col min="1" max="1" width="2" style="214" customWidth="1"/>
    <col min="2" max="2" width="1.42578125" style="214" customWidth="1"/>
    <col min="3" max="3" width="57.140625" style="214" customWidth="1"/>
    <col min="4" max="4" width="4.5703125" style="265" customWidth="1"/>
    <col min="5" max="5" width="9.28515625" style="214" customWidth="1"/>
    <col min="6" max="6" width="8.28515625" style="214" customWidth="1"/>
    <col min="7" max="7" width="12.7109375" style="214" customWidth="1"/>
    <col min="8" max="8" width="10.7109375" style="214" customWidth="1"/>
    <col min="9" max="9" width="9.28515625" style="214" customWidth="1"/>
    <col min="10" max="10" width="11.5703125" style="214" customWidth="1"/>
    <col min="11" max="11" width="9.140625" style="214" customWidth="1"/>
    <col min="12" max="12" width="12.7109375" style="214" customWidth="1"/>
    <col min="13" max="13" width="12.140625" style="214" customWidth="1"/>
    <col min="14" max="14" width="12.5703125" style="214" customWidth="1"/>
    <col min="15" max="15" width="12.42578125" style="214" customWidth="1"/>
    <col min="16" max="16384" width="9.140625" style="214"/>
  </cols>
  <sheetData>
    <row r="1" spans="2:14">
      <c r="B1" s="699" t="s">
        <v>73</v>
      </c>
      <c r="C1" s="699"/>
      <c r="D1" s="699"/>
      <c r="E1" s="699"/>
      <c r="F1" s="699"/>
      <c r="G1" s="699"/>
      <c r="H1" s="699"/>
      <c r="I1" s="699"/>
      <c r="J1" s="699"/>
      <c r="K1" s="699"/>
      <c r="L1" s="699"/>
      <c r="M1" s="699"/>
      <c r="N1" s="699"/>
    </row>
    <row r="2" spans="2:14">
      <c r="B2" s="699" t="s">
        <v>251</v>
      </c>
      <c r="C2" s="699"/>
      <c r="D2" s="699"/>
      <c r="E2" s="699"/>
      <c r="F2" s="699"/>
      <c r="G2" s="699"/>
      <c r="H2" s="699"/>
      <c r="I2" s="699"/>
      <c r="J2" s="699"/>
      <c r="K2" s="699"/>
      <c r="L2" s="699"/>
      <c r="M2" s="699"/>
      <c r="N2" s="699"/>
    </row>
    <row r="3" spans="2:14">
      <c r="B3" s="699" t="s">
        <v>103</v>
      </c>
      <c r="C3" s="699"/>
      <c r="D3" s="699"/>
      <c r="E3" s="699"/>
      <c r="F3" s="699"/>
      <c r="G3" s="699"/>
      <c r="H3" s="699"/>
      <c r="I3" s="699"/>
      <c r="J3" s="699"/>
      <c r="K3" s="699"/>
      <c r="L3" s="699"/>
      <c r="M3" s="699"/>
      <c r="N3" s="699"/>
    </row>
    <row r="4" spans="2:14">
      <c r="B4" s="82"/>
      <c r="C4" s="82"/>
      <c r="D4" s="82"/>
      <c r="E4" s="82"/>
      <c r="F4" s="82"/>
      <c r="G4" s="82"/>
      <c r="H4" s="82"/>
      <c r="I4" s="82"/>
      <c r="J4" s="82"/>
      <c r="K4" s="82"/>
      <c r="L4" s="82"/>
      <c r="M4" s="82"/>
      <c r="N4" s="82"/>
    </row>
    <row r="5" spans="2:14" ht="12.75" thickBot="1">
      <c r="B5" s="83"/>
      <c r="C5" s="84"/>
      <c r="D5" s="85"/>
      <c r="E5" s="84"/>
      <c r="F5" s="84"/>
      <c r="G5" s="85"/>
      <c r="H5" s="85"/>
      <c r="I5" s="85"/>
      <c r="J5" s="85"/>
    </row>
    <row r="6" spans="2:14" ht="62.25" customHeight="1">
      <c r="B6" s="215" t="s">
        <v>147</v>
      </c>
      <c r="C6" s="216"/>
      <c r="D6" s="179"/>
      <c r="E6" s="217" t="s">
        <v>104</v>
      </c>
      <c r="F6" s="217" t="s">
        <v>105</v>
      </c>
      <c r="G6" s="217" t="s">
        <v>106</v>
      </c>
      <c r="H6" s="217" t="s">
        <v>107</v>
      </c>
      <c r="I6" s="88" t="s">
        <v>314</v>
      </c>
      <c r="J6" s="217" t="s">
        <v>108</v>
      </c>
      <c r="K6" s="217" t="s">
        <v>109</v>
      </c>
      <c r="L6" s="217" t="s">
        <v>110</v>
      </c>
      <c r="M6" s="217" t="s">
        <v>50</v>
      </c>
      <c r="N6" s="89" t="s">
        <v>111</v>
      </c>
    </row>
    <row r="7" spans="2:14">
      <c r="B7" s="218" t="s">
        <v>112</v>
      </c>
      <c r="C7" s="219"/>
      <c r="D7" s="182"/>
      <c r="E7" s="220">
        <v>981</v>
      </c>
      <c r="F7" s="220">
        <v>296</v>
      </c>
      <c r="G7" s="220">
        <v>72</v>
      </c>
      <c r="H7" s="220">
        <v>64</v>
      </c>
      <c r="I7" s="220">
        <v>52</v>
      </c>
      <c r="J7" s="220">
        <v>117</v>
      </c>
      <c r="K7" s="220">
        <v>83</v>
      </c>
      <c r="L7" s="220">
        <v>103</v>
      </c>
      <c r="M7" s="220">
        <v>15</v>
      </c>
      <c r="N7" s="221">
        <v>802</v>
      </c>
    </row>
    <row r="8" spans="2:14">
      <c r="B8" s="95"/>
      <c r="C8" s="222" t="s">
        <v>52</v>
      </c>
      <c r="D8" s="119" t="s">
        <v>114</v>
      </c>
      <c r="E8" s="223">
        <v>-256</v>
      </c>
      <c r="F8" s="223">
        <v>-57</v>
      </c>
      <c r="G8" s="223">
        <v>-23</v>
      </c>
      <c r="H8" s="223">
        <v>-9</v>
      </c>
      <c r="I8" s="223">
        <v>0</v>
      </c>
      <c r="J8" s="223">
        <v>0</v>
      </c>
      <c r="K8" s="223">
        <v>0</v>
      </c>
      <c r="L8" s="223">
        <v>0</v>
      </c>
      <c r="M8" s="223">
        <v>0</v>
      </c>
      <c r="N8" s="224">
        <v>-89</v>
      </c>
    </row>
    <row r="9" spans="2:14" ht="24">
      <c r="B9" s="95"/>
      <c r="C9" s="96" t="s">
        <v>142</v>
      </c>
      <c r="D9" s="119" t="s">
        <v>115</v>
      </c>
      <c r="E9" s="223">
        <v>0</v>
      </c>
      <c r="F9" s="223">
        <v>0</v>
      </c>
      <c r="G9" s="223">
        <v>-4</v>
      </c>
      <c r="H9" s="223">
        <v>0</v>
      </c>
      <c r="I9" s="223">
        <v>0</v>
      </c>
      <c r="J9" s="223">
        <v>-9</v>
      </c>
      <c r="K9" s="223">
        <v>-3</v>
      </c>
      <c r="L9" s="223">
        <v>-12</v>
      </c>
      <c r="M9" s="223">
        <v>0</v>
      </c>
      <c r="N9" s="224">
        <v>-28</v>
      </c>
    </row>
    <row r="10" spans="2:14">
      <c r="B10" s="95"/>
      <c r="C10" s="96" t="s">
        <v>134</v>
      </c>
      <c r="D10" s="119" t="s">
        <v>135</v>
      </c>
      <c r="E10" s="223">
        <v>-1</v>
      </c>
      <c r="F10" s="223">
        <v>0</v>
      </c>
      <c r="G10" s="223">
        <v>0</v>
      </c>
      <c r="H10" s="223">
        <v>0</v>
      </c>
      <c r="I10" s="223">
        <v>0</v>
      </c>
      <c r="J10" s="223">
        <v>3</v>
      </c>
      <c r="K10" s="223">
        <v>-2</v>
      </c>
      <c r="L10" s="223">
        <v>-6</v>
      </c>
      <c r="M10" s="223">
        <v>0</v>
      </c>
      <c r="N10" s="224">
        <v>-5</v>
      </c>
    </row>
    <row r="11" spans="2:14" ht="24">
      <c r="B11" s="95"/>
      <c r="C11" s="96" t="s">
        <v>57</v>
      </c>
      <c r="D11" s="225" t="s">
        <v>124</v>
      </c>
      <c r="E11" s="223">
        <v>0</v>
      </c>
      <c r="F11" s="223">
        <v>0</v>
      </c>
      <c r="G11" s="223">
        <v>0</v>
      </c>
      <c r="H11" s="223">
        <v>0</v>
      </c>
      <c r="I11" s="223">
        <v>0</v>
      </c>
      <c r="J11" s="223">
        <v>0</v>
      </c>
      <c r="K11" s="223">
        <v>0</v>
      </c>
      <c r="L11" s="223">
        <v>-14</v>
      </c>
      <c r="M11" s="223">
        <v>-15</v>
      </c>
      <c r="N11" s="224">
        <v>-29</v>
      </c>
    </row>
    <row r="12" spans="2:14" ht="24">
      <c r="B12" s="95"/>
      <c r="C12" s="226" t="s">
        <v>136</v>
      </c>
      <c r="D12" s="225" t="s">
        <v>117</v>
      </c>
      <c r="E12" s="223">
        <v>0</v>
      </c>
      <c r="F12" s="223">
        <v>-1</v>
      </c>
      <c r="G12" s="223">
        <v>-17</v>
      </c>
      <c r="H12" s="223">
        <v>-27</v>
      </c>
      <c r="I12" s="223">
        <v>0</v>
      </c>
      <c r="J12" s="223">
        <v>0</v>
      </c>
      <c r="K12" s="223">
        <v>0</v>
      </c>
      <c r="L12" s="223">
        <v>-1</v>
      </c>
      <c r="M12" s="223">
        <v>0</v>
      </c>
      <c r="N12" s="224">
        <v>-46</v>
      </c>
    </row>
    <row r="13" spans="2:14" ht="12.75" thickBot="1">
      <c r="B13" s="227" t="s">
        <v>118</v>
      </c>
      <c r="C13" s="228"/>
      <c r="D13" s="229"/>
      <c r="E13" s="230">
        <v>724</v>
      </c>
      <c r="F13" s="230">
        <v>238</v>
      </c>
      <c r="G13" s="230">
        <v>28</v>
      </c>
      <c r="H13" s="230">
        <v>28</v>
      </c>
      <c r="I13" s="230">
        <v>52</v>
      </c>
      <c r="J13" s="230">
        <v>111</v>
      </c>
      <c r="K13" s="230">
        <v>78</v>
      </c>
      <c r="L13" s="230">
        <v>70</v>
      </c>
      <c r="M13" s="230">
        <v>0</v>
      </c>
      <c r="N13" s="231">
        <v>605</v>
      </c>
    </row>
    <row r="14" spans="2:14" ht="5.25" customHeight="1" thickTop="1" thickBot="1">
      <c r="B14" s="232"/>
      <c r="C14" s="233"/>
      <c r="D14" s="234"/>
      <c r="E14" s="233"/>
      <c r="F14" s="233"/>
      <c r="G14" s="233"/>
      <c r="H14" s="233"/>
      <c r="I14" s="233"/>
      <c r="J14" s="233"/>
      <c r="K14" s="233"/>
      <c r="L14" s="233"/>
      <c r="M14" s="233"/>
      <c r="N14" s="235"/>
    </row>
    <row r="15" spans="2:14" ht="12.75" thickBot="1">
      <c r="B15" s="236"/>
      <c r="C15" s="237"/>
      <c r="D15" s="238"/>
      <c r="E15" s="237"/>
      <c r="F15" s="237"/>
      <c r="G15" s="237"/>
      <c r="H15" s="237"/>
      <c r="I15" s="237"/>
      <c r="J15" s="237"/>
      <c r="K15" s="237"/>
      <c r="L15" s="237"/>
      <c r="M15" s="237"/>
      <c r="N15" s="237"/>
    </row>
    <row r="16" spans="2:14" ht="36">
      <c r="B16" s="239" t="s">
        <v>147</v>
      </c>
      <c r="C16" s="240"/>
      <c r="D16" s="113"/>
      <c r="E16" s="241" t="s">
        <v>125</v>
      </c>
      <c r="F16" s="241" t="s">
        <v>126</v>
      </c>
      <c r="G16" s="241" t="s">
        <v>127</v>
      </c>
      <c r="H16" s="115" t="s">
        <v>128</v>
      </c>
      <c r="I16" s="116"/>
      <c r="J16" s="242" t="s">
        <v>146</v>
      </c>
      <c r="K16" s="243">
        <v>591</v>
      </c>
      <c r="L16" s="236"/>
      <c r="M16" s="236"/>
      <c r="N16" s="236"/>
    </row>
    <row r="17" spans="2:14">
      <c r="B17" s="95" t="s">
        <v>112</v>
      </c>
      <c r="C17" s="222"/>
      <c r="D17" s="119"/>
      <c r="E17" s="244">
        <v>179</v>
      </c>
      <c r="F17" s="220">
        <v>189</v>
      </c>
      <c r="G17" s="245">
        <v>0.14449541284403669</v>
      </c>
      <c r="H17" s="246">
        <v>0.13907284768211919</v>
      </c>
      <c r="I17" s="247"/>
      <c r="J17" s="237"/>
      <c r="K17" s="237"/>
      <c r="L17" s="237"/>
      <c r="M17" s="237"/>
      <c r="N17" s="248"/>
    </row>
    <row r="18" spans="2:14" ht="24">
      <c r="B18" s="95"/>
      <c r="C18" s="96" t="s">
        <v>52</v>
      </c>
      <c r="D18" s="119" t="s">
        <v>114</v>
      </c>
      <c r="E18" s="249">
        <v>-167</v>
      </c>
      <c r="F18" s="223">
        <v>-134</v>
      </c>
      <c r="G18" s="250">
        <v>-9.1649684193661582E-2</v>
      </c>
      <c r="H18" s="251">
        <v>-8.7873867695099542E-2</v>
      </c>
      <c r="I18" s="247"/>
      <c r="J18" s="237"/>
      <c r="K18" s="237"/>
      <c r="L18" s="237"/>
      <c r="M18" s="237"/>
      <c r="N18" s="252"/>
    </row>
    <row r="19" spans="2:14" ht="24">
      <c r="B19" s="95"/>
      <c r="C19" s="96" t="s">
        <v>142</v>
      </c>
      <c r="D19" s="119" t="s">
        <v>115</v>
      </c>
      <c r="E19" s="249">
        <v>28</v>
      </c>
      <c r="F19" s="223">
        <v>17</v>
      </c>
      <c r="G19" s="250">
        <v>1.2895855457404827E-2</v>
      </c>
      <c r="H19" s="251">
        <v>1.2416833961318598E-2</v>
      </c>
      <c r="I19" s="253"/>
      <c r="J19" s="237"/>
      <c r="K19" s="237"/>
      <c r="L19" s="237"/>
      <c r="M19" s="237"/>
      <c r="N19" s="252"/>
    </row>
    <row r="20" spans="2:14">
      <c r="B20" s="95"/>
      <c r="C20" s="96" t="s">
        <v>134</v>
      </c>
      <c r="D20" s="119" t="s">
        <v>135</v>
      </c>
      <c r="E20" s="249">
        <v>4</v>
      </c>
      <c r="F20" s="223">
        <v>3</v>
      </c>
      <c r="G20" s="250">
        <v>2.2757391983655581E-3</v>
      </c>
      <c r="H20" s="251">
        <v>2.1912059931738703E-3</v>
      </c>
      <c r="I20" s="254"/>
      <c r="J20" s="237"/>
      <c r="K20" s="237"/>
      <c r="L20" s="237"/>
      <c r="M20" s="237"/>
      <c r="N20" s="252"/>
    </row>
    <row r="21" spans="2:14" ht="24">
      <c r="B21" s="95"/>
      <c r="C21" s="96" t="s">
        <v>57</v>
      </c>
      <c r="D21" s="225" t="s">
        <v>124</v>
      </c>
      <c r="E21" s="249">
        <v>29</v>
      </c>
      <c r="F21" s="223">
        <v>17</v>
      </c>
      <c r="G21" s="250">
        <v>1.2895855457404827E-2</v>
      </c>
      <c r="H21" s="251">
        <v>1.2416833961318598E-2</v>
      </c>
      <c r="I21" s="254"/>
      <c r="J21" s="237"/>
      <c r="K21" s="237"/>
      <c r="L21" s="237"/>
      <c r="M21" s="237"/>
      <c r="N21" s="252"/>
    </row>
    <row r="22" spans="2:14" ht="24">
      <c r="B22" s="95"/>
      <c r="C22" s="226" t="s">
        <v>136</v>
      </c>
      <c r="D22" s="225" t="s">
        <v>117</v>
      </c>
      <c r="E22" s="249">
        <v>46</v>
      </c>
      <c r="F22" s="249">
        <v>19</v>
      </c>
      <c r="G22" s="250">
        <v>1.4413014922981866E-2</v>
      </c>
      <c r="H22" s="251">
        <v>1.3877637956767845E-2</v>
      </c>
      <c r="I22" s="254"/>
      <c r="J22" s="237"/>
      <c r="K22" s="237"/>
      <c r="L22" s="237"/>
      <c r="M22" s="237"/>
      <c r="N22" s="252"/>
    </row>
    <row r="23" spans="2:14" ht="12.75" thickBot="1">
      <c r="B23" s="255" t="s">
        <v>118</v>
      </c>
      <c r="C23" s="236"/>
      <c r="D23" s="256"/>
      <c r="E23" s="230">
        <v>119</v>
      </c>
      <c r="F23" s="230">
        <v>111</v>
      </c>
      <c r="G23" s="257">
        <v>8.4202350339525639E-2</v>
      </c>
      <c r="H23" s="258">
        <v>8.1074621747433198E-2</v>
      </c>
      <c r="J23" s="237"/>
      <c r="K23" s="237"/>
      <c r="L23" s="237"/>
      <c r="M23" s="237"/>
      <c r="N23" s="252"/>
    </row>
    <row r="24" spans="2:14" ht="5.25" customHeight="1" thickTop="1" thickBot="1">
      <c r="B24" s="259"/>
      <c r="C24" s="260"/>
      <c r="D24" s="261"/>
      <c r="E24" s="262"/>
      <c r="F24" s="262"/>
      <c r="G24" s="263"/>
      <c r="H24" s="264"/>
      <c r="I24" s="236"/>
      <c r="J24" s="237" t="s">
        <v>228</v>
      </c>
      <c r="K24" s="237"/>
      <c r="L24" s="237"/>
      <c r="M24" s="237"/>
      <c r="N24" s="237"/>
    </row>
    <row r="25" spans="2:14" ht="12.75" thickBot="1"/>
    <row r="26" spans="2:14" ht="60" customHeight="1">
      <c r="B26" s="215" t="s">
        <v>145</v>
      </c>
      <c r="C26" s="216"/>
      <c r="D26" s="179"/>
      <c r="E26" s="217" t="s">
        <v>104</v>
      </c>
      <c r="F26" s="217" t="s">
        <v>105</v>
      </c>
      <c r="G26" s="217" t="s">
        <v>106</v>
      </c>
      <c r="H26" s="217" t="s">
        <v>107</v>
      </c>
      <c r="I26" s="88" t="s">
        <v>314</v>
      </c>
      <c r="J26" s="217" t="s">
        <v>108</v>
      </c>
      <c r="K26" s="217" t="s">
        <v>109</v>
      </c>
      <c r="L26" s="217" t="s">
        <v>110</v>
      </c>
      <c r="M26" s="217" t="s">
        <v>50</v>
      </c>
      <c r="N26" s="89" t="s">
        <v>111</v>
      </c>
    </row>
    <row r="27" spans="2:14">
      <c r="B27" s="218" t="s">
        <v>112</v>
      </c>
      <c r="C27" s="219"/>
      <c r="D27" s="182"/>
      <c r="E27" s="266">
        <v>1038</v>
      </c>
      <c r="F27" s="266">
        <v>281</v>
      </c>
      <c r="G27" s="266">
        <v>86</v>
      </c>
      <c r="H27" s="266">
        <v>54</v>
      </c>
      <c r="I27" s="266">
        <v>51</v>
      </c>
      <c r="J27" s="266">
        <v>123</v>
      </c>
      <c r="K27" s="266">
        <v>118</v>
      </c>
      <c r="L27" s="266">
        <v>92</v>
      </c>
      <c r="M27" s="266">
        <v>15</v>
      </c>
      <c r="N27" s="267">
        <v>820</v>
      </c>
    </row>
    <row r="28" spans="2:14" ht="24">
      <c r="B28" s="95"/>
      <c r="C28" s="96" t="s">
        <v>52</v>
      </c>
      <c r="D28" s="119" t="s">
        <v>114</v>
      </c>
      <c r="E28" s="268">
        <v>-237</v>
      </c>
      <c r="F28" s="268">
        <v>-43</v>
      </c>
      <c r="G28" s="268">
        <v>-28</v>
      </c>
      <c r="H28" s="268">
        <v>-2</v>
      </c>
      <c r="I28" s="268">
        <v>0</v>
      </c>
      <c r="J28" s="268">
        <v>0</v>
      </c>
      <c r="K28" s="268">
        <v>0</v>
      </c>
      <c r="L28" s="268">
        <v>0</v>
      </c>
      <c r="M28" s="268">
        <v>0</v>
      </c>
      <c r="N28" s="269">
        <v>-73</v>
      </c>
    </row>
    <row r="29" spans="2:14" ht="24">
      <c r="B29" s="95"/>
      <c r="C29" s="96" t="s">
        <v>142</v>
      </c>
      <c r="D29" s="119" t="s">
        <v>115</v>
      </c>
      <c r="E29" s="268">
        <v>0</v>
      </c>
      <c r="F29" s="268">
        <v>0</v>
      </c>
      <c r="G29" s="268">
        <v>-10</v>
      </c>
      <c r="H29" s="268">
        <v>0</v>
      </c>
      <c r="I29" s="268">
        <v>0</v>
      </c>
      <c r="J29" s="268">
        <v>-8</v>
      </c>
      <c r="K29" s="268">
        <v>-4</v>
      </c>
      <c r="L29" s="268">
        <v>-21</v>
      </c>
      <c r="M29" s="268">
        <v>0</v>
      </c>
      <c r="N29" s="269">
        <v>-43</v>
      </c>
    </row>
    <row r="30" spans="2:14">
      <c r="B30" s="95"/>
      <c r="C30" s="96" t="s">
        <v>134</v>
      </c>
      <c r="D30" s="119" t="s">
        <v>135</v>
      </c>
      <c r="E30" s="268">
        <v>0</v>
      </c>
      <c r="F30" s="268">
        <v>0</v>
      </c>
      <c r="G30" s="268">
        <v>0</v>
      </c>
      <c r="H30" s="268">
        <v>0</v>
      </c>
      <c r="I30" s="268">
        <v>0</v>
      </c>
      <c r="J30" s="268">
        <v>1</v>
      </c>
      <c r="K30" s="268">
        <v>0</v>
      </c>
      <c r="L30" s="268">
        <v>-4</v>
      </c>
      <c r="M30" s="268">
        <v>0</v>
      </c>
      <c r="N30" s="269">
        <v>-3</v>
      </c>
    </row>
    <row r="31" spans="2:14" ht="24">
      <c r="B31" s="95"/>
      <c r="C31" s="96" t="s">
        <v>57</v>
      </c>
      <c r="D31" s="225" t="s">
        <v>124</v>
      </c>
      <c r="E31" s="268">
        <v>0</v>
      </c>
      <c r="F31" s="268">
        <v>0</v>
      </c>
      <c r="G31" s="268">
        <v>0</v>
      </c>
      <c r="H31" s="268">
        <v>0</v>
      </c>
      <c r="I31" s="268">
        <v>0</v>
      </c>
      <c r="J31" s="268">
        <v>0</v>
      </c>
      <c r="K31" s="268">
        <v>0</v>
      </c>
      <c r="L31" s="268">
        <v>-3</v>
      </c>
      <c r="M31" s="268">
        <v>-15</v>
      </c>
      <c r="N31" s="269">
        <v>-18</v>
      </c>
    </row>
    <row r="32" spans="2:14" ht="24">
      <c r="B32" s="95"/>
      <c r="C32" s="226" t="s">
        <v>136</v>
      </c>
      <c r="D32" s="225" t="s">
        <v>117</v>
      </c>
      <c r="E32" s="268">
        <v>0</v>
      </c>
      <c r="F32" s="268">
        <v>-1</v>
      </c>
      <c r="G32" s="268">
        <v>-12</v>
      </c>
      <c r="H32" s="268">
        <v>-24</v>
      </c>
      <c r="I32" s="268">
        <v>0</v>
      </c>
      <c r="J32" s="268">
        <v>0</v>
      </c>
      <c r="K32" s="268">
        <v>0</v>
      </c>
      <c r="L32" s="268">
        <v>-1</v>
      </c>
      <c r="M32" s="268">
        <v>0</v>
      </c>
      <c r="N32" s="269">
        <v>-38</v>
      </c>
    </row>
    <row r="33" spans="2:14" ht="12.75" thickBot="1">
      <c r="B33" s="227" t="s">
        <v>118</v>
      </c>
      <c r="C33" s="228"/>
      <c r="D33" s="229"/>
      <c r="E33" s="270">
        <v>801</v>
      </c>
      <c r="F33" s="270">
        <v>237</v>
      </c>
      <c r="G33" s="270">
        <v>36</v>
      </c>
      <c r="H33" s="270">
        <v>28</v>
      </c>
      <c r="I33" s="270">
        <v>51</v>
      </c>
      <c r="J33" s="270">
        <v>116</v>
      </c>
      <c r="K33" s="270">
        <v>114</v>
      </c>
      <c r="L33" s="270">
        <v>63</v>
      </c>
      <c r="M33" s="270">
        <v>0</v>
      </c>
      <c r="N33" s="271">
        <v>645</v>
      </c>
    </row>
    <row r="34" spans="2:14" ht="4.5" customHeight="1" thickTop="1" thickBot="1">
      <c r="B34" s="232"/>
      <c r="C34" s="233"/>
      <c r="D34" s="234"/>
      <c r="E34" s="233"/>
      <c r="F34" s="233"/>
      <c r="G34" s="233"/>
      <c r="H34" s="233"/>
      <c r="I34" s="233"/>
      <c r="J34" s="233"/>
      <c r="K34" s="233"/>
      <c r="L34" s="233"/>
      <c r="M34" s="233"/>
      <c r="N34" s="235"/>
    </row>
    <row r="35" spans="2:14" ht="12.75" thickBot="1">
      <c r="B35" s="236"/>
      <c r="C35" s="237"/>
      <c r="D35" s="238"/>
      <c r="E35" s="237"/>
      <c r="F35" s="237"/>
      <c r="G35" s="237"/>
      <c r="H35" s="237"/>
      <c r="I35" s="237"/>
      <c r="J35" s="237"/>
      <c r="K35" s="237"/>
      <c r="L35" s="237"/>
      <c r="M35" s="237"/>
      <c r="N35" s="237"/>
    </row>
    <row r="36" spans="2:14" ht="36">
      <c r="B36" s="239" t="s">
        <v>145</v>
      </c>
      <c r="C36" s="240"/>
      <c r="D36" s="113"/>
      <c r="E36" s="241" t="s">
        <v>125</v>
      </c>
      <c r="F36" s="241" t="s">
        <v>126</v>
      </c>
      <c r="G36" s="241" t="s">
        <v>127</v>
      </c>
      <c r="H36" s="115" t="s">
        <v>128</v>
      </c>
      <c r="I36" s="116"/>
      <c r="J36" s="242" t="s">
        <v>146</v>
      </c>
      <c r="K36" s="272">
        <v>591</v>
      </c>
      <c r="L36" s="236"/>
      <c r="M36" s="236"/>
      <c r="N36" s="236"/>
    </row>
    <row r="37" spans="2:14">
      <c r="B37" s="95" t="s">
        <v>112</v>
      </c>
      <c r="C37" s="222"/>
      <c r="D37" s="119"/>
      <c r="E37" s="273">
        <v>218</v>
      </c>
      <c r="F37" s="266">
        <v>195</v>
      </c>
      <c r="G37" s="274">
        <v>0.15</v>
      </c>
      <c r="H37" s="275">
        <v>0.15</v>
      </c>
      <c r="I37" s="276"/>
      <c r="J37" s="237"/>
      <c r="K37" s="237"/>
      <c r="L37" s="237"/>
      <c r="M37" s="237"/>
      <c r="N37" s="248"/>
    </row>
    <row r="38" spans="2:14" ht="24">
      <c r="B38" s="95"/>
      <c r="C38" s="96" t="s">
        <v>52</v>
      </c>
      <c r="D38" s="119" t="s">
        <v>114</v>
      </c>
      <c r="E38" s="277">
        <v>-164</v>
      </c>
      <c r="F38" s="268">
        <v>-145</v>
      </c>
      <c r="G38" s="278">
        <v>-0.11158122337661956</v>
      </c>
      <c r="H38" s="279">
        <v>-0.10806937631866606</v>
      </c>
      <c r="I38" s="276"/>
      <c r="J38" s="237"/>
      <c r="K38" s="237"/>
      <c r="L38" s="237"/>
      <c r="M38" s="237"/>
      <c r="N38" s="280"/>
    </row>
    <row r="39" spans="2:14" ht="24">
      <c r="B39" s="95"/>
      <c r="C39" s="96" t="s">
        <v>142</v>
      </c>
      <c r="D39" s="119" t="s">
        <v>115</v>
      </c>
      <c r="E39" s="277">
        <v>43</v>
      </c>
      <c r="F39" s="268">
        <v>27</v>
      </c>
      <c r="G39" s="278">
        <v>2.077719331840502E-2</v>
      </c>
      <c r="H39" s="279">
        <v>2.0123263176579198E-2</v>
      </c>
      <c r="I39" s="281"/>
      <c r="J39" s="237"/>
      <c r="K39" s="237"/>
      <c r="L39" s="237"/>
      <c r="M39" s="237"/>
      <c r="N39" s="280"/>
    </row>
    <row r="40" spans="2:14">
      <c r="B40" s="95"/>
      <c r="C40" s="96" t="s">
        <v>134</v>
      </c>
      <c r="D40" s="119" t="s">
        <v>135</v>
      </c>
      <c r="E40" s="277">
        <v>3</v>
      </c>
      <c r="F40" s="268">
        <v>2</v>
      </c>
      <c r="G40" s="278">
        <v>1.5390513569188905E-3</v>
      </c>
      <c r="H40" s="279">
        <v>1.4906120871540146E-3</v>
      </c>
      <c r="I40" s="282"/>
      <c r="J40" s="237"/>
      <c r="K40" s="237"/>
      <c r="L40" s="237"/>
      <c r="M40" s="237"/>
      <c r="N40" s="280"/>
    </row>
    <row r="41" spans="2:14" ht="24">
      <c r="B41" s="95"/>
      <c r="C41" s="96" t="s">
        <v>57</v>
      </c>
      <c r="D41" s="225" t="s">
        <v>124</v>
      </c>
      <c r="E41" s="277">
        <v>18</v>
      </c>
      <c r="F41" s="268">
        <v>11</v>
      </c>
      <c r="G41" s="278">
        <v>8.4647824630538979E-3</v>
      </c>
      <c r="H41" s="279">
        <v>8.1983664793470797E-3</v>
      </c>
      <c r="I41" s="282"/>
      <c r="J41" s="237"/>
      <c r="K41" s="237"/>
      <c r="L41" s="237"/>
      <c r="M41" s="237"/>
      <c r="N41" s="280"/>
    </row>
    <row r="42" spans="2:14" ht="24">
      <c r="B42" s="95"/>
      <c r="C42" s="226" t="s">
        <v>136</v>
      </c>
      <c r="D42" s="225" t="s">
        <v>117</v>
      </c>
      <c r="E42" s="277">
        <v>38</v>
      </c>
      <c r="F42" s="277">
        <v>22</v>
      </c>
      <c r="G42" s="278">
        <v>1.6929564926107796E-2</v>
      </c>
      <c r="H42" s="279">
        <v>1.6396732958694159E-2</v>
      </c>
      <c r="I42" s="282"/>
      <c r="J42" s="237"/>
      <c r="K42" s="237"/>
      <c r="L42" s="237"/>
      <c r="M42" s="237"/>
      <c r="N42" s="280"/>
    </row>
    <row r="43" spans="2:14" ht="12.75" thickBot="1">
      <c r="B43" s="255" t="s">
        <v>118</v>
      </c>
      <c r="C43" s="236"/>
      <c r="D43" s="256"/>
      <c r="E43" s="270">
        <v>156</v>
      </c>
      <c r="F43" s="270">
        <v>112</v>
      </c>
      <c r="G43" s="283">
        <v>8.6186875987457862E-2</v>
      </c>
      <c r="H43" s="284">
        <v>8.3474276880624823E-2</v>
      </c>
      <c r="J43" s="237"/>
      <c r="K43" s="237"/>
      <c r="L43" s="237"/>
      <c r="M43" s="237"/>
      <c r="N43" s="280"/>
    </row>
    <row r="44" spans="2:14" ht="4.5" customHeight="1" thickTop="1" thickBot="1">
      <c r="B44" s="259"/>
      <c r="C44" s="260"/>
      <c r="D44" s="261"/>
      <c r="E44" s="262"/>
      <c r="F44" s="262"/>
      <c r="G44" s="263"/>
      <c r="H44" s="264"/>
      <c r="I44" s="236"/>
      <c r="J44" s="237"/>
      <c r="K44" s="237"/>
      <c r="L44" s="237"/>
      <c r="M44" s="237"/>
      <c r="N44" s="237"/>
    </row>
    <row r="45" spans="2:14" ht="12.75" thickBot="1">
      <c r="B45" s="236"/>
      <c r="C45" s="236"/>
      <c r="D45" s="285"/>
      <c r="E45" s="236"/>
      <c r="F45" s="236"/>
      <c r="G45" s="286"/>
      <c r="H45" s="286"/>
      <c r="I45" s="236"/>
      <c r="J45" s="237"/>
      <c r="K45" s="237"/>
      <c r="L45" s="237"/>
    </row>
    <row r="46" spans="2:14" ht="63" customHeight="1">
      <c r="B46" s="177" t="s">
        <v>27</v>
      </c>
      <c r="C46" s="178"/>
      <c r="D46" s="287"/>
      <c r="E46" s="88" t="s">
        <v>104</v>
      </c>
      <c r="F46" s="88" t="s">
        <v>105</v>
      </c>
      <c r="G46" s="88" t="s">
        <v>106</v>
      </c>
      <c r="H46" s="88" t="s">
        <v>107</v>
      </c>
      <c r="I46" s="88" t="s">
        <v>314</v>
      </c>
      <c r="J46" s="88" t="s">
        <v>108</v>
      </c>
      <c r="K46" s="88" t="s">
        <v>109</v>
      </c>
      <c r="L46" s="88" t="s">
        <v>110</v>
      </c>
      <c r="M46" s="88" t="s">
        <v>50</v>
      </c>
      <c r="N46" s="89" t="s">
        <v>111</v>
      </c>
    </row>
    <row r="47" spans="2:14">
      <c r="B47" s="695" t="s">
        <v>112</v>
      </c>
      <c r="C47" s="696"/>
      <c r="D47" s="182"/>
      <c r="E47" s="120">
        <v>703</v>
      </c>
      <c r="F47" s="120">
        <v>185</v>
      </c>
      <c r="G47" s="120">
        <v>54</v>
      </c>
      <c r="H47" s="120">
        <v>45</v>
      </c>
      <c r="I47" s="120">
        <v>55</v>
      </c>
      <c r="J47" s="120">
        <v>122</v>
      </c>
      <c r="K47" s="120">
        <v>128</v>
      </c>
      <c r="L47" s="120">
        <v>106</v>
      </c>
      <c r="M47" s="120">
        <v>-1</v>
      </c>
      <c r="N47" s="183">
        <v>694</v>
      </c>
    </row>
    <row r="48" spans="2:14" ht="24">
      <c r="B48" s="95"/>
      <c r="C48" s="96" t="s">
        <v>52</v>
      </c>
      <c r="D48" s="119" t="s">
        <v>114</v>
      </c>
      <c r="E48" s="288">
        <v>52</v>
      </c>
      <c r="F48" s="288">
        <v>20</v>
      </c>
      <c r="G48" s="288">
        <v>31</v>
      </c>
      <c r="H48" s="288">
        <v>5</v>
      </c>
      <c r="I48" s="288">
        <v>0</v>
      </c>
      <c r="J48" s="288">
        <v>0</v>
      </c>
      <c r="K48" s="288">
        <v>5</v>
      </c>
      <c r="L48" s="288">
        <v>0</v>
      </c>
      <c r="M48" s="288">
        <v>0</v>
      </c>
      <c r="N48" s="289">
        <v>61</v>
      </c>
    </row>
    <row r="49" spans="2:15">
      <c r="B49" s="95"/>
      <c r="C49" s="96" t="s">
        <v>53</v>
      </c>
      <c r="D49" s="119" t="s">
        <v>115</v>
      </c>
      <c r="E49" s="288">
        <v>0</v>
      </c>
      <c r="F49" s="288">
        <v>0</v>
      </c>
      <c r="G49" s="288">
        <v>-3</v>
      </c>
      <c r="H49" s="288">
        <v>0</v>
      </c>
      <c r="I49" s="288">
        <v>0</v>
      </c>
      <c r="J49" s="288">
        <v>-11</v>
      </c>
      <c r="K49" s="288">
        <v>-2</v>
      </c>
      <c r="L49" s="288">
        <v>-20</v>
      </c>
      <c r="M49" s="288">
        <v>0</v>
      </c>
      <c r="N49" s="289">
        <v>-36</v>
      </c>
    </row>
    <row r="50" spans="2:15" ht="24">
      <c r="B50" s="95"/>
      <c r="C50" s="96" t="s">
        <v>57</v>
      </c>
      <c r="D50" s="225" t="s">
        <v>124</v>
      </c>
      <c r="E50" s="288">
        <v>0</v>
      </c>
      <c r="F50" s="288">
        <v>0</v>
      </c>
      <c r="G50" s="288">
        <v>0</v>
      </c>
      <c r="H50" s="288">
        <v>0</v>
      </c>
      <c r="I50" s="288">
        <v>0</v>
      </c>
      <c r="J50" s="288">
        <v>0</v>
      </c>
      <c r="K50" s="288">
        <v>0</v>
      </c>
      <c r="L50" s="288">
        <v>-7</v>
      </c>
      <c r="M50" s="288">
        <v>1</v>
      </c>
      <c r="N50" s="289">
        <v>-6</v>
      </c>
    </row>
    <row r="51" spans="2:15" ht="24">
      <c r="B51" s="95"/>
      <c r="C51" s="226" t="s">
        <v>136</v>
      </c>
      <c r="D51" s="225" t="s">
        <v>117</v>
      </c>
      <c r="E51" s="288">
        <v>0</v>
      </c>
      <c r="F51" s="288">
        <v>-1</v>
      </c>
      <c r="G51" s="288">
        <v>-8</v>
      </c>
      <c r="H51" s="288">
        <v>-24</v>
      </c>
      <c r="I51" s="288">
        <v>0</v>
      </c>
      <c r="J51" s="288">
        <v>0</v>
      </c>
      <c r="K51" s="288">
        <v>0</v>
      </c>
      <c r="L51" s="288">
        <v>0</v>
      </c>
      <c r="M51" s="288">
        <v>0</v>
      </c>
      <c r="N51" s="289">
        <v>-33</v>
      </c>
    </row>
    <row r="52" spans="2:15" ht="12.75" thickBot="1">
      <c r="B52" s="709" t="s">
        <v>118</v>
      </c>
      <c r="C52" s="710"/>
      <c r="D52" s="200"/>
      <c r="E52" s="138">
        <v>755</v>
      </c>
      <c r="F52" s="138">
        <v>204</v>
      </c>
      <c r="G52" s="138">
        <v>74</v>
      </c>
      <c r="H52" s="138">
        <v>26</v>
      </c>
      <c r="I52" s="138">
        <v>55</v>
      </c>
      <c r="J52" s="138">
        <v>111</v>
      </c>
      <c r="K52" s="138">
        <v>131</v>
      </c>
      <c r="L52" s="138">
        <v>79</v>
      </c>
      <c r="M52" s="138">
        <v>0</v>
      </c>
      <c r="N52" s="189">
        <v>680</v>
      </c>
    </row>
    <row r="53" spans="2:15" ht="3.75" customHeight="1" thickTop="1" thickBot="1">
      <c r="B53" s="190"/>
      <c r="C53" s="191"/>
      <c r="D53" s="192"/>
      <c r="E53" s="191"/>
      <c r="F53" s="191"/>
      <c r="G53" s="191"/>
      <c r="H53" s="191"/>
      <c r="I53" s="191"/>
      <c r="J53" s="191"/>
      <c r="K53" s="191"/>
      <c r="L53" s="191"/>
      <c r="M53" s="191"/>
      <c r="N53" s="290"/>
    </row>
    <row r="54" spans="2:15" ht="12.75" thickBot="1">
      <c r="B54" s="193"/>
      <c r="C54" s="194"/>
      <c r="D54" s="195"/>
      <c r="E54" s="194"/>
      <c r="F54" s="194"/>
      <c r="G54" s="194"/>
      <c r="H54" s="194"/>
      <c r="I54" s="194"/>
      <c r="J54" s="194"/>
      <c r="K54" s="194"/>
      <c r="L54" s="194"/>
      <c r="M54" s="194"/>
      <c r="N54" s="194"/>
    </row>
    <row r="55" spans="2:15" ht="36">
      <c r="B55" s="177" t="s">
        <v>27</v>
      </c>
      <c r="C55" s="178"/>
      <c r="D55" s="287"/>
      <c r="E55" s="114" t="s">
        <v>125</v>
      </c>
      <c r="F55" s="114" t="s">
        <v>126</v>
      </c>
      <c r="G55" s="114" t="s">
        <v>127</v>
      </c>
      <c r="H55" s="115" t="s">
        <v>128</v>
      </c>
      <c r="I55" s="116"/>
      <c r="J55" s="117"/>
      <c r="K55" s="118"/>
      <c r="L55" s="193"/>
      <c r="M55" s="193"/>
      <c r="N55" s="193"/>
    </row>
    <row r="56" spans="2:15">
      <c r="B56" s="695" t="s">
        <v>112</v>
      </c>
      <c r="C56" s="696"/>
      <c r="D56" s="119"/>
      <c r="E56" s="291">
        <v>9</v>
      </c>
      <c r="F56" s="120">
        <v>15</v>
      </c>
      <c r="G56" s="121">
        <v>0.01</v>
      </c>
      <c r="H56" s="292">
        <v>0.01</v>
      </c>
      <c r="I56" s="123"/>
      <c r="J56" s="194"/>
      <c r="K56" s="194"/>
      <c r="L56" s="194"/>
      <c r="M56" s="194"/>
      <c r="N56" s="293"/>
    </row>
    <row r="57" spans="2:15" ht="24">
      <c r="B57" s="95"/>
      <c r="C57" s="96" t="s">
        <v>52</v>
      </c>
      <c r="D57" s="119" t="s">
        <v>114</v>
      </c>
      <c r="E57" s="294">
        <v>-9</v>
      </c>
      <c r="F57" s="295">
        <v>5</v>
      </c>
      <c r="G57" s="296">
        <v>4.101120951277934E-9</v>
      </c>
      <c r="H57" s="297">
        <v>4.0207775843999526E-3</v>
      </c>
      <c r="I57" s="123"/>
      <c r="J57" s="194"/>
      <c r="K57" s="194"/>
      <c r="L57" s="194"/>
      <c r="M57" s="194"/>
      <c r="N57" s="298"/>
    </row>
    <row r="58" spans="2:15">
      <c r="B58" s="95"/>
      <c r="C58" s="96" t="s">
        <v>53</v>
      </c>
      <c r="D58" s="119" t="s">
        <v>115</v>
      </c>
      <c r="E58" s="294">
        <v>36</v>
      </c>
      <c r="F58" s="295">
        <v>23</v>
      </c>
      <c r="G58" s="296">
        <v>1.777308556174418E-2</v>
      </c>
      <c r="H58" s="297">
        <v>1.742490038242241E-2</v>
      </c>
      <c r="I58" s="299"/>
      <c r="J58" s="194"/>
      <c r="K58" s="194"/>
      <c r="L58" s="194"/>
      <c r="M58" s="194"/>
      <c r="N58" s="298"/>
    </row>
    <row r="59" spans="2:15" ht="24">
      <c r="B59" s="95"/>
      <c r="C59" s="96" t="s">
        <v>57</v>
      </c>
      <c r="D59" s="225" t="s">
        <v>124</v>
      </c>
      <c r="E59" s="294">
        <v>6</v>
      </c>
      <c r="F59" s="295">
        <v>3</v>
      </c>
      <c r="G59" s="296">
        <v>2.7535986284327576E-3</v>
      </c>
      <c r="H59" s="297">
        <v>2.6996540148826638E-3</v>
      </c>
      <c r="I59" s="129"/>
      <c r="J59" s="194"/>
      <c r="K59" s="194"/>
      <c r="L59" s="194"/>
      <c r="M59" s="194"/>
      <c r="N59" s="298"/>
    </row>
    <row r="60" spans="2:15" ht="24">
      <c r="B60" s="95"/>
      <c r="C60" s="226" t="s">
        <v>136</v>
      </c>
      <c r="D60" s="225" t="s">
        <v>117</v>
      </c>
      <c r="E60" s="294">
        <v>33</v>
      </c>
      <c r="F60" s="295">
        <v>9</v>
      </c>
      <c r="G60" s="300">
        <v>6.9952491382924602E-3</v>
      </c>
      <c r="H60" s="301">
        <v>6.8582081013180227E-3</v>
      </c>
      <c r="I60" s="129"/>
      <c r="J60" s="194"/>
      <c r="K60" s="194"/>
      <c r="L60" s="194"/>
      <c r="M60" s="194"/>
      <c r="N60" s="298"/>
    </row>
    <row r="61" spans="2:15" ht="12.75" thickBot="1">
      <c r="B61" s="709" t="s">
        <v>118</v>
      </c>
      <c r="C61" s="710"/>
      <c r="D61" s="200"/>
      <c r="E61" s="138">
        <v>75</v>
      </c>
      <c r="F61" s="138">
        <v>55</v>
      </c>
      <c r="G61" s="302">
        <v>4.2947394542128155E-2</v>
      </c>
      <c r="H61" s="303">
        <v>4.2106029872042906E-2</v>
      </c>
      <c r="I61" s="304"/>
      <c r="J61" s="194"/>
      <c r="K61" s="194"/>
      <c r="L61" s="194"/>
      <c r="M61" s="194"/>
      <c r="N61" s="298"/>
    </row>
    <row r="62" spans="2:15" ht="3.75" customHeight="1" thickTop="1" thickBot="1">
      <c r="B62" s="305"/>
      <c r="C62" s="306"/>
      <c r="D62" s="306"/>
      <c r="E62" s="204"/>
      <c r="F62" s="204"/>
      <c r="G62" s="307"/>
      <c r="H62" s="308"/>
      <c r="I62" s="193"/>
      <c r="J62" s="194"/>
      <c r="K62" s="194"/>
      <c r="L62" s="194"/>
      <c r="M62" s="194"/>
    </row>
    <row r="63" spans="2:15" ht="12.75" thickBot="1">
      <c r="B63" s="193"/>
      <c r="C63" s="193"/>
      <c r="D63" s="309"/>
      <c r="E63" s="193"/>
      <c r="F63" s="193"/>
      <c r="G63" s="310"/>
      <c r="H63" s="310"/>
      <c r="I63" s="194"/>
      <c r="J63" s="194"/>
      <c r="K63" s="194"/>
    </row>
    <row r="64" spans="2:15" ht="60.75" customHeight="1">
      <c r="B64" s="177" t="s">
        <v>26</v>
      </c>
      <c r="C64" s="178"/>
      <c r="D64" s="179"/>
      <c r="E64" s="88" t="s">
        <v>104</v>
      </c>
      <c r="F64" s="88" t="s">
        <v>105</v>
      </c>
      <c r="G64" s="88" t="s">
        <v>106</v>
      </c>
      <c r="H64" s="88" t="s">
        <v>107</v>
      </c>
      <c r="I64" s="88" t="s">
        <v>314</v>
      </c>
      <c r="J64" s="88" t="s">
        <v>108</v>
      </c>
      <c r="K64" s="88" t="s">
        <v>109</v>
      </c>
      <c r="L64" s="88" t="s">
        <v>110</v>
      </c>
      <c r="M64" s="88" t="s">
        <v>50</v>
      </c>
      <c r="N64" s="217" t="s">
        <v>133</v>
      </c>
      <c r="O64" s="89" t="s">
        <v>111</v>
      </c>
    </row>
    <row r="65" spans="2:15">
      <c r="B65" s="180" t="s">
        <v>112</v>
      </c>
      <c r="C65" s="181"/>
      <c r="D65" s="182"/>
      <c r="E65" s="120">
        <v>1557</v>
      </c>
      <c r="F65" s="120">
        <v>670</v>
      </c>
      <c r="G65" s="120">
        <v>136</v>
      </c>
      <c r="H65" s="120">
        <v>152</v>
      </c>
      <c r="I65" s="120">
        <v>54</v>
      </c>
      <c r="J65" s="120">
        <v>265</v>
      </c>
      <c r="K65" s="120">
        <v>215</v>
      </c>
      <c r="L65" s="120">
        <v>94</v>
      </c>
      <c r="M65" s="311">
        <v>-6</v>
      </c>
      <c r="N65" s="320">
        <v>409</v>
      </c>
      <c r="O65" s="183">
        <f t="shared" ref="O65:O70" si="0">SUM(F65:N65)</f>
        <v>1989</v>
      </c>
    </row>
    <row r="66" spans="2:15" ht="24">
      <c r="B66" s="95"/>
      <c r="C66" s="96" t="s">
        <v>52</v>
      </c>
      <c r="D66" s="119" t="s">
        <v>114</v>
      </c>
      <c r="E66" s="126">
        <v>938</v>
      </c>
      <c r="F66" s="126">
        <v>194</v>
      </c>
      <c r="G66" s="126">
        <v>16</v>
      </c>
      <c r="H66" s="126">
        <v>4</v>
      </c>
      <c r="I66" s="132">
        <v>0</v>
      </c>
      <c r="J66" s="132">
        <v>0</v>
      </c>
      <c r="K66" s="132">
        <v>0</v>
      </c>
      <c r="L66" s="132">
        <v>0</v>
      </c>
      <c r="M66" s="312">
        <v>0</v>
      </c>
      <c r="N66" s="157">
        <v>0</v>
      </c>
      <c r="O66" s="184">
        <f t="shared" si="0"/>
        <v>214</v>
      </c>
    </row>
    <row r="67" spans="2:15">
      <c r="B67" s="95"/>
      <c r="C67" s="96" t="s">
        <v>53</v>
      </c>
      <c r="D67" s="119" t="s">
        <v>115</v>
      </c>
      <c r="E67" s="132">
        <v>0</v>
      </c>
      <c r="F67" s="132">
        <v>0</v>
      </c>
      <c r="G67" s="126">
        <v>-16</v>
      </c>
      <c r="H67" s="132">
        <v>0</v>
      </c>
      <c r="I67" s="132">
        <v>0</v>
      </c>
      <c r="J67" s="126">
        <v>-12</v>
      </c>
      <c r="K67" s="126">
        <v>1</v>
      </c>
      <c r="L67" s="126">
        <v>-20</v>
      </c>
      <c r="M67" s="312">
        <v>0</v>
      </c>
      <c r="N67" s="157">
        <v>0</v>
      </c>
      <c r="O67" s="184">
        <f t="shared" si="0"/>
        <v>-47</v>
      </c>
    </row>
    <row r="68" spans="2:15" ht="24">
      <c r="B68" s="95"/>
      <c r="C68" s="96" t="s">
        <v>57</v>
      </c>
      <c r="D68" s="119" t="s">
        <v>124</v>
      </c>
      <c r="E68" s="132">
        <v>0</v>
      </c>
      <c r="F68" s="132">
        <v>0</v>
      </c>
      <c r="G68" s="132">
        <v>0</v>
      </c>
      <c r="H68" s="132">
        <v>0</v>
      </c>
      <c r="I68" s="132">
        <v>0</v>
      </c>
      <c r="J68" s="132">
        <v>0</v>
      </c>
      <c r="K68" s="132">
        <v>0</v>
      </c>
      <c r="L68" s="132">
        <v>0</v>
      </c>
      <c r="M68" s="313">
        <v>6</v>
      </c>
      <c r="N68" s="157">
        <v>0</v>
      </c>
      <c r="O68" s="184">
        <f t="shared" si="0"/>
        <v>6</v>
      </c>
    </row>
    <row r="69" spans="2:15" ht="24">
      <c r="B69" s="95"/>
      <c r="C69" s="96" t="s">
        <v>55</v>
      </c>
      <c r="D69" s="314" t="s">
        <v>117</v>
      </c>
      <c r="E69" s="132">
        <v>0</v>
      </c>
      <c r="F69" s="126">
        <v>-1</v>
      </c>
      <c r="G69" s="126">
        <v>-29</v>
      </c>
      <c r="H69" s="126">
        <v>-112</v>
      </c>
      <c r="I69" s="132">
        <v>0</v>
      </c>
      <c r="J69" s="132">
        <v>0</v>
      </c>
      <c r="K69" s="132">
        <v>0</v>
      </c>
      <c r="L69" s="132">
        <v>0</v>
      </c>
      <c r="M69" s="312">
        <v>0</v>
      </c>
      <c r="N69" s="157">
        <v>0</v>
      </c>
      <c r="O69" s="184">
        <f t="shared" si="0"/>
        <v>-142</v>
      </c>
    </row>
    <row r="70" spans="2:15">
      <c r="B70" s="95"/>
      <c r="C70" s="96" t="s">
        <v>56</v>
      </c>
      <c r="D70" s="119" t="s">
        <v>180</v>
      </c>
      <c r="E70" s="132">
        <v>0</v>
      </c>
      <c r="F70" s="132">
        <v>0</v>
      </c>
      <c r="G70" s="132">
        <v>0</v>
      </c>
      <c r="H70" s="132">
        <v>0</v>
      </c>
      <c r="I70" s="132">
        <v>0</v>
      </c>
      <c r="J70" s="132">
        <v>0</v>
      </c>
      <c r="K70" s="132">
        <v>0</v>
      </c>
      <c r="L70" s="132">
        <v>0</v>
      </c>
      <c r="M70" s="312">
        <v>0</v>
      </c>
      <c r="N70" s="321">
        <v>-409</v>
      </c>
      <c r="O70" s="184">
        <f t="shared" si="0"/>
        <v>-409</v>
      </c>
    </row>
    <row r="71" spans="2:15" ht="12.75" thickBot="1">
      <c r="B71" s="186" t="s">
        <v>118</v>
      </c>
      <c r="C71" s="187"/>
      <c r="D71" s="188"/>
      <c r="E71" s="138">
        <f t="shared" ref="E71:O71" si="1">SUM(E65:E70)</f>
        <v>2495</v>
      </c>
      <c r="F71" s="138">
        <f t="shared" si="1"/>
        <v>863</v>
      </c>
      <c r="G71" s="138">
        <f t="shared" si="1"/>
        <v>107</v>
      </c>
      <c r="H71" s="138">
        <f t="shared" si="1"/>
        <v>44</v>
      </c>
      <c r="I71" s="138">
        <f t="shared" si="1"/>
        <v>54</v>
      </c>
      <c r="J71" s="138">
        <f t="shared" si="1"/>
        <v>253</v>
      </c>
      <c r="K71" s="138">
        <f t="shared" si="1"/>
        <v>216</v>
      </c>
      <c r="L71" s="138">
        <f t="shared" si="1"/>
        <v>74</v>
      </c>
      <c r="M71" s="323">
        <f t="shared" si="1"/>
        <v>0</v>
      </c>
      <c r="N71" s="322">
        <f t="shared" si="1"/>
        <v>0</v>
      </c>
      <c r="O71" s="189">
        <f t="shared" si="1"/>
        <v>1611</v>
      </c>
    </row>
    <row r="72" spans="2:15" ht="3.75" customHeight="1" thickTop="1" thickBot="1">
      <c r="B72" s="190"/>
      <c r="C72" s="191"/>
      <c r="D72" s="192"/>
      <c r="E72" s="191"/>
      <c r="F72" s="108"/>
      <c r="G72" s="108"/>
      <c r="H72" s="108"/>
      <c r="I72" s="108"/>
      <c r="J72" s="108"/>
      <c r="K72" s="108"/>
      <c r="L72" s="108"/>
      <c r="M72" s="108"/>
      <c r="N72" s="108"/>
      <c r="O72" s="109"/>
    </row>
    <row r="73" spans="2:15" ht="12.75" thickBot="1">
      <c r="B73" s="193"/>
      <c r="C73" s="194"/>
      <c r="D73" s="195"/>
      <c r="E73" s="194"/>
      <c r="F73" s="194"/>
      <c r="G73" s="194"/>
      <c r="H73" s="194"/>
      <c r="I73" s="194"/>
      <c r="J73" s="194"/>
      <c r="K73" s="194"/>
      <c r="L73" s="194"/>
      <c r="M73" s="194"/>
      <c r="N73" s="194"/>
      <c r="O73" s="194"/>
    </row>
    <row r="74" spans="2:15" ht="48">
      <c r="B74" s="196" t="str">
        <f>B64</f>
        <v>Three Months Ended December 31, 2009</v>
      </c>
      <c r="C74" s="197"/>
      <c r="D74" s="113"/>
      <c r="E74" s="114" t="s">
        <v>119</v>
      </c>
      <c r="F74" s="114" t="s">
        <v>120</v>
      </c>
      <c r="G74" s="114" t="s">
        <v>121</v>
      </c>
      <c r="H74" s="115" t="s">
        <v>122</v>
      </c>
      <c r="I74" s="116"/>
      <c r="J74" s="117"/>
      <c r="K74" s="118"/>
      <c r="L74" s="193"/>
      <c r="N74" s="193"/>
      <c r="O74" s="193"/>
    </row>
    <row r="75" spans="2:15">
      <c r="B75" s="180" t="s">
        <v>112</v>
      </c>
      <c r="C75" s="181"/>
      <c r="D75" s="119"/>
      <c r="E75" s="120">
        <f t="shared" ref="E75:E80" si="2">E65-O65</f>
        <v>-432</v>
      </c>
      <c r="F75" s="120">
        <v>-286</v>
      </c>
      <c r="G75" s="121">
        <v>-0.23</v>
      </c>
      <c r="H75" s="122">
        <v>-0.23</v>
      </c>
      <c r="I75" s="123"/>
      <c r="J75" s="315"/>
      <c r="K75" s="118"/>
      <c r="L75" s="193"/>
      <c r="N75" s="193"/>
      <c r="O75" s="193"/>
    </row>
    <row r="76" spans="2:15" ht="24">
      <c r="B76" s="95"/>
      <c r="C76" s="96" t="s">
        <v>52</v>
      </c>
      <c r="D76" s="119" t="s">
        <v>114</v>
      </c>
      <c r="E76" s="125">
        <f t="shared" si="2"/>
        <v>724</v>
      </c>
      <c r="F76" s="126">
        <v>552</v>
      </c>
      <c r="G76" s="127">
        <v>0.43</v>
      </c>
      <c r="H76" s="128">
        <v>0.43</v>
      </c>
      <c r="I76" s="123"/>
      <c r="J76" s="123"/>
      <c r="K76" s="123"/>
      <c r="L76" s="123"/>
      <c r="N76" s="123"/>
      <c r="O76" s="130"/>
    </row>
    <row r="77" spans="2:15">
      <c r="B77" s="95"/>
      <c r="C77" s="96" t="s">
        <v>53</v>
      </c>
      <c r="D77" s="119" t="s">
        <v>115</v>
      </c>
      <c r="E77" s="125">
        <f t="shared" si="2"/>
        <v>47</v>
      </c>
      <c r="F77" s="126">
        <v>29</v>
      </c>
      <c r="G77" s="127">
        <v>0.02</v>
      </c>
      <c r="H77" s="128">
        <v>0.02</v>
      </c>
      <c r="I77" s="129"/>
      <c r="J77" s="129"/>
      <c r="K77" s="130"/>
      <c r="L77" s="130"/>
      <c r="N77" s="130"/>
      <c r="O77" s="130"/>
    </row>
    <row r="78" spans="2:15" ht="24">
      <c r="B78" s="95"/>
      <c r="C78" s="96" t="s">
        <v>57</v>
      </c>
      <c r="D78" s="119" t="s">
        <v>124</v>
      </c>
      <c r="E78" s="125">
        <f t="shared" si="2"/>
        <v>-6</v>
      </c>
      <c r="F78" s="126">
        <v>-4</v>
      </c>
      <c r="G78" s="132">
        <v>0</v>
      </c>
      <c r="H78" s="133">
        <v>0</v>
      </c>
      <c r="I78" s="134"/>
      <c r="J78" s="134"/>
      <c r="K78" s="135"/>
      <c r="L78" s="130"/>
      <c r="N78" s="130"/>
      <c r="O78" s="130"/>
    </row>
    <row r="79" spans="2:15" ht="24">
      <c r="B79" s="95"/>
      <c r="C79" s="96" t="s">
        <v>55</v>
      </c>
      <c r="D79" s="314" t="s">
        <v>117</v>
      </c>
      <c r="E79" s="125">
        <f t="shared" si="2"/>
        <v>142</v>
      </c>
      <c r="F79" s="126">
        <v>92</v>
      </c>
      <c r="G79" s="127">
        <v>7.0000000000000007E-2</v>
      </c>
      <c r="H79" s="128">
        <v>7.0000000000000007E-2</v>
      </c>
      <c r="I79" s="134"/>
      <c r="J79" s="134"/>
      <c r="K79" s="135"/>
      <c r="L79" s="130"/>
      <c r="N79" s="130"/>
      <c r="O79" s="130"/>
    </row>
    <row r="80" spans="2:15">
      <c r="B80" s="95"/>
      <c r="C80" s="96" t="s">
        <v>56</v>
      </c>
      <c r="D80" s="119" t="s">
        <v>180</v>
      </c>
      <c r="E80" s="125">
        <f t="shared" si="2"/>
        <v>409</v>
      </c>
      <c r="F80" s="126">
        <v>249</v>
      </c>
      <c r="G80" s="136">
        <v>0.19</v>
      </c>
      <c r="H80" s="199">
        <v>0.19</v>
      </c>
      <c r="I80" s="134"/>
      <c r="J80" s="134"/>
      <c r="K80" s="135"/>
      <c r="L80" s="130"/>
      <c r="N80" s="130"/>
      <c r="O80" s="130"/>
    </row>
    <row r="81" spans="2:15" ht="12.75" thickBot="1">
      <c r="B81" s="186" t="s">
        <v>118</v>
      </c>
      <c r="C81" s="187"/>
      <c r="D81" s="200"/>
      <c r="E81" s="138">
        <f>SUM(E75:E80)</f>
        <v>884</v>
      </c>
      <c r="F81" s="138">
        <f>SUM(F75:F80)</f>
        <v>632</v>
      </c>
      <c r="G81" s="139">
        <v>0.5</v>
      </c>
      <c r="H81" s="140">
        <v>0.49</v>
      </c>
      <c r="I81" s="141"/>
      <c r="J81" s="194"/>
      <c r="K81" s="194"/>
      <c r="L81" s="194"/>
      <c r="N81" s="194"/>
      <c r="O81" s="194"/>
    </row>
    <row r="82" spans="2:15" ht="3.75" customHeight="1" thickTop="1" thickBot="1">
      <c r="B82" s="316"/>
      <c r="C82" s="202"/>
      <c r="D82" s="203"/>
      <c r="E82" s="204"/>
      <c r="F82" s="204"/>
      <c r="G82" s="204"/>
      <c r="H82" s="205"/>
      <c r="I82" s="193"/>
      <c r="J82" s="194"/>
      <c r="K82" s="194"/>
      <c r="L82" s="194"/>
      <c r="M82" s="194"/>
      <c r="N82" s="194"/>
      <c r="O82" s="194"/>
    </row>
    <row r="83" spans="2:15">
      <c r="B83" s="193"/>
      <c r="C83" s="193"/>
      <c r="D83" s="309"/>
      <c r="E83" s="193"/>
      <c r="F83" s="310"/>
      <c r="G83" s="194"/>
      <c r="H83" s="194"/>
      <c r="I83" s="194"/>
    </row>
    <row r="84" spans="2:15">
      <c r="B84" s="193"/>
      <c r="C84" s="193"/>
      <c r="D84" s="309"/>
      <c r="E84" s="193"/>
      <c r="F84" s="193"/>
      <c r="G84" s="310"/>
      <c r="H84" s="194"/>
      <c r="I84" s="194"/>
      <c r="J84" s="194"/>
      <c r="K84" s="194"/>
    </row>
    <row r="85" spans="2:15">
      <c r="C85" s="317" t="s">
        <v>129</v>
      </c>
      <c r="N85" s="237"/>
    </row>
    <row r="86" spans="2:15">
      <c r="C86" s="701" t="s">
        <v>137</v>
      </c>
      <c r="D86" s="711"/>
      <c r="E86" s="711"/>
      <c r="F86" s="711"/>
      <c r="G86" s="711"/>
      <c r="H86" s="711"/>
      <c r="I86" s="711"/>
      <c r="J86" s="711"/>
      <c r="K86" s="711"/>
      <c r="L86" s="711"/>
      <c r="M86" s="711"/>
      <c r="N86" s="237"/>
    </row>
    <row r="87" spans="2:15">
      <c r="C87" s="317" t="s">
        <v>138</v>
      </c>
      <c r="N87" s="318"/>
    </row>
    <row r="88" spans="2:15" ht="24.75" customHeight="1">
      <c r="C88" s="708" t="s">
        <v>139</v>
      </c>
      <c r="D88" s="708"/>
      <c r="E88" s="708"/>
      <c r="F88" s="708"/>
      <c r="G88" s="708"/>
      <c r="H88" s="708"/>
      <c r="I88" s="708"/>
      <c r="J88" s="708"/>
      <c r="K88" s="708"/>
      <c r="L88" s="708"/>
      <c r="M88" s="708"/>
      <c r="N88" s="708"/>
      <c r="O88" s="708"/>
    </row>
    <row r="89" spans="2:15">
      <c r="C89" s="317" t="s">
        <v>140</v>
      </c>
      <c r="D89" s="319"/>
      <c r="E89" s="319"/>
      <c r="F89" s="319"/>
      <c r="G89" s="319"/>
      <c r="H89" s="319"/>
      <c r="I89" s="319"/>
      <c r="J89" s="319"/>
      <c r="K89" s="319"/>
      <c r="L89" s="319"/>
      <c r="M89" s="319"/>
      <c r="N89" s="318"/>
    </row>
    <row r="90" spans="2:15">
      <c r="C90" s="317" t="s">
        <v>181</v>
      </c>
      <c r="D90" s="319"/>
      <c r="E90" s="319"/>
      <c r="F90" s="319"/>
      <c r="G90" s="319"/>
      <c r="H90" s="319"/>
      <c r="I90" s="319"/>
      <c r="J90" s="319"/>
      <c r="K90" s="319"/>
      <c r="L90" s="319"/>
      <c r="M90" s="319"/>
      <c r="N90" s="318"/>
    </row>
    <row r="91" spans="2:15">
      <c r="C91" s="317"/>
      <c r="D91" s="319"/>
      <c r="E91" s="319"/>
      <c r="F91" s="319"/>
      <c r="G91" s="319"/>
      <c r="H91" s="319"/>
      <c r="I91" s="319"/>
      <c r="J91" s="319"/>
      <c r="K91" s="319"/>
      <c r="L91" s="319"/>
      <c r="M91" s="319"/>
      <c r="N91" s="318"/>
    </row>
    <row r="92" spans="2:15" ht="27.75" customHeight="1">
      <c r="C92" s="708" t="s">
        <v>132</v>
      </c>
      <c r="D92" s="708"/>
      <c r="E92" s="708"/>
      <c r="F92" s="708"/>
      <c r="G92" s="708"/>
      <c r="H92" s="708"/>
      <c r="I92" s="708"/>
      <c r="J92" s="708"/>
      <c r="K92" s="708"/>
      <c r="L92" s="708"/>
      <c r="M92" s="319"/>
      <c r="N92" s="318"/>
    </row>
  </sheetData>
  <mergeCells count="10">
    <mergeCell ref="C92:L92"/>
    <mergeCell ref="B1:N1"/>
    <mergeCell ref="B2:N2"/>
    <mergeCell ref="B3:N3"/>
    <mergeCell ref="B47:C47"/>
    <mergeCell ref="C88:O88"/>
    <mergeCell ref="B56:C56"/>
    <mergeCell ref="B61:C61"/>
    <mergeCell ref="B52:C52"/>
    <mergeCell ref="C86:M86"/>
  </mergeCells>
  <pageMargins left="0.7" right="0.7" top="0.25" bottom="0.44" header="0.3" footer="0.3"/>
  <pageSetup scale="33" orientation="landscape" r:id="rId1"/>
  <headerFooter>
    <oddFooter>&amp;LActivision Blizzard, Inc.&amp;R&amp;P of &amp; 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L112"/>
  <sheetViews>
    <sheetView showGridLines="0" zoomScaleNormal="100" zoomScaleSheetLayoutView="100" zoomScalePageLayoutView="68" workbookViewId="0">
      <pane xSplit="4" ySplit="7" topLeftCell="AB104" activePane="bottomRight" state="frozen"/>
      <selection sqref="A1:AE1"/>
      <selection pane="topRight" sqref="A1:AE1"/>
      <selection pane="bottomLeft" sqref="A1:AE1"/>
      <selection pane="bottomRight" activeCell="AD9" sqref="AA9:AD9"/>
    </sheetView>
  </sheetViews>
  <sheetFormatPr defaultColWidth="8.85546875" defaultRowHeight="15"/>
  <cols>
    <col min="1" max="3" width="2.7109375" style="5" customWidth="1"/>
    <col min="4" max="4" width="45.7109375" style="5" customWidth="1"/>
    <col min="5" max="7" width="9.7109375" style="27" customWidth="1"/>
    <col min="8" max="15" width="9.7109375" style="388" customWidth="1"/>
    <col min="16" max="16" width="9.7109375" style="389" customWidth="1"/>
    <col min="17" max="33" width="9.7109375" style="27" customWidth="1"/>
    <col min="34" max="34" width="7.42578125" style="27" customWidth="1"/>
    <col min="35" max="16384" width="8.85546875" style="27"/>
  </cols>
  <sheetData>
    <row r="1" spans="1:38" s="31" customFormat="1" ht="15" customHeight="1" collapsed="1">
      <c r="A1" s="685" t="s">
        <v>42</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row>
    <row r="2" spans="1:38" s="31" customFormat="1" ht="15" customHeight="1">
      <c r="A2" s="685" t="s">
        <v>28</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row>
    <row r="3" spans="1:38" s="31" customFormat="1" ht="15" customHeight="1">
      <c r="A3" s="685" t="s">
        <v>24</v>
      </c>
      <c r="B3" s="685"/>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685"/>
      <c r="AG3" s="685"/>
      <c r="AH3" s="685"/>
      <c r="AL3" s="30"/>
    </row>
    <row r="5" spans="1:38">
      <c r="A5" s="20" t="s">
        <v>151</v>
      </c>
    </row>
    <row r="6" spans="1:38" ht="13.5">
      <c r="E6" s="19" t="s">
        <v>216</v>
      </c>
      <c r="F6" s="19" t="s">
        <v>6</v>
      </c>
      <c r="G6" s="19" t="s">
        <v>3</v>
      </c>
      <c r="H6" s="390" t="s">
        <v>4</v>
      </c>
      <c r="I6" s="390" t="s">
        <v>5</v>
      </c>
      <c r="J6" s="390" t="s">
        <v>6</v>
      </c>
      <c r="K6" s="390" t="s">
        <v>3</v>
      </c>
      <c r="L6" s="390" t="s">
        <v>4</v>
      </c>
      <c r="M6" s="390" t="s">
        <v>5</v>
      </c>
      <c r="N6" s="390" t="s">
        <v>6</v>
      </c>
      <c r="O6" s="390" t="s">
        <v>3</v>
      </c>
      <c r="P6" s="390" t="s">
        <v>4</v>
      </c>
      <c r="Q6" s="390" t="s">
        <v>5</v>
      </c>
      <c r="R6" s="390" t="s">
        <v>6</v>
      </c>
      <c r="S6" s="390" t="s">
        <v>3</v>
      </c>
      <c r="T6" s="390" t="s">
        <v>4</v>
      </c>
      <c r="U6" s="390" t="s">
        <v>5</v>
      </c>
      <c r="V6" s="390" t="s">
        <v>6</v>
      </c>
      <c r="W6" s="390" t="s">
        <v>3</v>
      </c>
      <c r="X6" s="390" t="s">
        <v>4</v>
      </c>
      <c r="Y6" s="390" t="s">
        <v>5</v>
      </c>
      <c r="Z6" s="390" t="s">
        <v>6</v>
      </c>
      <c r="AA6" s="390" t="s">
        <v>3</v>
      </c>
      <c r="AB6" s="390" t="s">
        <v>4</v>
      </c>
      <c r="AC6" s="390" t="s">
        <v>5</v>
      </c>
      <c r="AD6" s="390" t="s">
        <v>6</v>
      </c>
      <c r="AE6" s="390" t="s">
        <v>3</v>
      </c>
      <c r="AF6" s="390" t="s">
        <v>4</v>
      </c>
      <c r="AG6" s="390" t="s">
        <v>5</v>
      </c>
    </row>
    <row r="7" spans="1:38" ht="12.75">
      <c r="A7" s="44"/>
      <c r="B7" s="44"/>
      <c r="C7" s="44"/>
      <c r="D7" s="44"/>
      <c r="E7" s="45" t="s">
        <v>43</v>
      </c>
      <c r="F7" s="45" t="s">
        <v>43</v>
      </c>
      <c r="G7" s="45" t="s">
        <v>44</v>
      </c>
      <c r="H7" s="391" t="s">
        <v>44</v>
      </c>
      <c r="I7" s="391" t="s">
        <v>44</v>
      </c>
      <c r="J7" s="391" t="s">
        <v>44</v>
      </c>
      <c r="K7" s="391" t="s">
        <v>45</v>
      </c>
      <c r="L7" s="391" t="s">
        <v>45</v>
      </c>
      <c r="M7" s="391" t="s">
        <v>45</v>
      </c>
      <c r="N7" s="391" t="s">
        <v>45</v>
      </c>
      <c r="O7" s="391" t="s">
        <v>46</v>
      </c>
      <c r="P7" s="391" t="s">
        <v>46</v>
      </c>
      <c r="Q7" s="391" t="s">
        <v>46</v>
      </c>
      <c r="R7" s="391" t="s">
        <v>46</v>
      </c>
      <c r="S7" s="391" t="s">
        <v>237</v>
      </c>
      <c r="T7" s="391" t="s">
        <v>237</v>
      </c>
      <c r="U7" s="391" t="s">
        <v>237</v>
      </c>
      <c r="V7" s="391" t="s">
        <v>237</v>
      </c>
      <c r="W7" s="391" t="s">
        <v>264</v>
      </c>
      <c r="X7" s="391" t="s">
        <v>264</v>
      </c>
      <c r="Y7" s="391" t="s">
        <v>264</v>
      </c>
      <c r="Z7" s="391" t="s">
        <v>264</v>
      </c>
      <c r="AA7" s="391" t="s">
        <v>307</v>
      </c>
      <c r="AB7" s="391" t="s">
        <v>307</v>
      </c>
      <c r="AC7" s="391" t="s">
        <v>307</v>
      </c>
      <c r="AD7" s="391" t="s">
        <v>307</v>
      </c>
      <c r="AE7" s="391" t="s">
        <v>332</v>
      </c>
      <c r="AF7" s="391" t="s">
        <v>332</v>
      </c>
      <c r="AG7" s="391" t="s">
        <v>332</v>
      </c>
    </row>
    <row r="8" spans="1:38" ht="5.25" customHeight="1">
      <c r="A8" s="6"/>
      <c r="B8" s="6"/>
      <c r="C8" s="6"/>
      <c r="D8" s="6"/>
      <c r="P8" s="388"/>
      <c r="Q8" s="388"/>
      <c r="R8" s="388"/>
      <c r="S8" s="388"/>
      <c r="T8" s="388"/>
      <c r="U8" s="388"/>
      <c r="V8" s="388"/>
      <c r="W8" s="388"/>
      <c r="X8" s="388"/>
      <c r="Y8" s="388"/>
      <c r="Z8" s="388"/>
      <c r="AA8" s="388"/>
      <c r="AB8" s="388"/>
      <c r="AC8" s="388"/>
      <c r="AD8" s="388"/>
      <c r="AE8" s="388"/>
      <c r="AF8" s="388"/>
      <c r="AG8" s="388"/>
    </row>
    <row r="9" spans="1:38" ht="12.75">
      <c r="A9" s="8"/>
      <c r="B9" s="1" t="s">
        <v>204</v>
      </c>
      <c r="C9" s="9"/>
      <c r="D9" s="8"/>
      <c r="E9" s="13">
        <v>711</v>
      </c>
      <c r="F9" s="13">
        <v>1639</v>
      </c>
      <c r="G9" s="13">
        <v>981</v>
      </c>
      <c r="H9" s="392">
        <v>1038</v>
      </c>
      <c r="I9" s="392">
        <v>703</v>
      </c>
      <c r="J9" s="392">
        <v>1557</v>
      </c>
      <c r="K9" s="392">
        <v>1308</v>
      </c>
      <c r="L9" s="392">
        <v>967</v>
      </c>
      <c r="M9" s="392">
        <v>745</v>
      </c>
      <c r="N9" s="392">
        <v>1427</v>
      </c>
      <c r="O9" s="392">
        <v>1449</v>
      </c>
      <c r="P9" s="392">
        <v>1146</v>
      </c>
      <c r="Q9" s="392">
        <v>754</v>
      </c>
      <c r="R9" s="392">
        <v>1407</v>
      </c>
      <c r="S9" s="392">
        <v>1172</v>
      </c>
      <c r="T9" s="392">
        <v>1075</v>
      </c>
      <c r="U9" s="392">
        <v>841</v>
      </c>
      <c r="V9" s="392">
        <v>1768</v>
      </c>
      <c r="W9" s="392">
        <v>1324</v>
      </c>
      <c r="X9" s="392">
        <v>1050</v>
      </c>
      <c r="Y9" s="392">
        <v>691</v>
      </c>
      <c r="Z9" s="392">
        <v>1518</v>
      </c>
      <c r="AA9" s="392">
        <v>1111</v>
      </c>
      <c r="AB9" s="392">
        <v>970</v>
      </c>
      <c r="AC9" s="392">
        <v>753</v>
      </c>
      <c r="AD9" s="392">
        <v>1575</v>
      </c>
      <c r="AE9" s="392">
        <v>1278</v>
      </c>
      <c r="AF9" s="392">
        <v>1044</v>
      </c>
      <c r="AG9" s="392">
        <v>990</v>
      </c>
    </row>
    <row r="10" spans="1:38" ht="12.75">
      <c r="A10" s="8"/>
      <c r="B10" s="1" t="s">
        <v>203</v>
      </c>
      <c r="C10" s="9"/>
      <c r="D10" s="8"/>
      <c r="E10" s="13"/>
      <c r="F10" s="13"/>
      <c r="G10" s="13"/>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row>
    <row r="11" spans="1:38" s="48" customFormat="1" ht="12.75">
      <c r="A11" s="10"/>
      <c r="C11" s="2" t="s">
        <v>214</v>
      </c>
      <c r="D11" s="10"/>
      <c r="E11" s="47">
        <v>279</v>
      </c>
      <c r="F11" s="47">
        <v>805</v>
      </c>
      <c r="G11" s="47">
        <v>296</v>
      </c>
      <c r="H11" s="393">
        <v>281</v>
      </c>
      <c r="I11" s="393">
        <v>185</v>
      </c>
      <c r="J11" s="393">
        <v>670</v>
      </c>
      <c r="K11" s="393">
        <v>337</v>
      </c>
      <c r="L11" s="393">
        <v>235</v>
      </c>
      <c r="M11" s="393">
        <v>194</v>
      </c>
      <c r="N11" s="393">
        <v>585</v>
      </c>
      <c r="O11" s="393">
        <v>299</v>
      </c>
      <c r="P11" s="393">
        <v>213</v>
      </c>
      <c r="Q11" s="393">
        <v>138</v>
      </c>
      <c r="R11" s="393">
        <v>483</v>
      </c>
      <c r="S11" s="393">
        <v>257</v>
      </c>
      <c r="T11" s="393">
        <v>229</v>
      </c>
      <c r="U11" s="393">
        <v>146</v>
      </c>
      <c r="V11" s="393">
        <v>483</v>
      </c>
      <c r="W11" s="393">
        <v>260</v>
      </c>
      <c r="X11" s="393">
        <v>179</v>
      </c>
      <c r="Y11" s="393">
        <v>111</v>
      </c>
      <c r="Z11" s="393">
        <v>502</v>
      </c>
      <c r="AA11" s="393">
        <v>225</v>
      </c>
      <c r="AB11" s="393">
        <v>187</v>
      </c>
      <c r="AC11" s="393">
        <v>156</v>
      </c>
      <c r="AD11" s="393">
        <v>432</v>
      </c>
      <c r="AE11" s="393">
        <v>209</v>
      </c>
      <c r="AF11" s="393">
        <v>156</v>
      </c>
      <c r="AG11" s="393">
        <v>195</v>
      </c>
    </row>
    <row r="12" spans="1:38" s="48" customFormat="1" ht="12.75">
      <c r="A12" s="10"/>
      <c r="C12" s="2" t="s">
        <v>313</v>
      </c>
      <c r="D12" s="10"/>
      <c r="E12" s="47">
        <v>43</v>
      </c>
      <c r="F12" s="47">
        <v>53</v>
      </c>
      <c r="G12" s="47">
        <v>52</v>
      </c>
      <c r="H12" s="393">
        <v>51</v>
      </c>
      <c r="I12" s="393">
        <v>55</v>
      </c>
      <c r="J12" s="393">
        <v>54</v>
      </c>
      <c r="K12" s="393">
        <f>54+2+2</f>
        <v>58</v>
      </c>
      <c r="L12" s="393">
        <f>52+1+2</f>
        <v>55</v>
      </c>
      <c r="M12" s="393">
        <f>61+3</f>
        <v>64</v>
      </c>
      <c r="N12" s="393">
        <f>73+3</f>
        <v>76</v>
      </c>
      <c r="O12" s="393">
        <f>63+3</f>
        <v>66</v>
      </c>
      <c r="P12" s="393">
        <f>59+3</f>
        <v>62</v>
      </c>
      <c r="Q12" s="393">
        <f>59+4</f>
        <v>63</v>
      </c>
      <c r="R12" s="393">
        <f>58+7</f>
        <v>65</v>
      </c>
      <c r="S12" s="393">
        <f>59+10</f>
        <v>69</v>
      </c>
      <c r="T12" s="393">
        <f>64+7</f>
        <v>71</v>
      </c>
      <c r="U12" s="393">
        <f>56+6</f>
        <v>62</v>
      </c>
      <c r="V12" s="393">
        <f>53+7</f>
        <v>60</v>
      </c>
      <c r="W12" s="393">
        <v>57</v>
      </c>
      <c r="X12" s="393">
        <v>54</v>
      </c>
      <c r="Y12" s="393">
        <v>43</v>
      </c>
      <c r="Z12" s="393">
        <v>50</v>
      </c>
      <c r="AA12" s="393">
        <v>58</v>
      </c>
      <c r="AB12" s="393">
        <v>56</v>
      </c>
      <c r="AC12" s="393">
        <v>56</v>
      </c>
      <c r="AD12" s="393">
        <v>61</v>
      </c>
      <c r="AE12" s="393">
        <v>53</v>
      </c>
      <c r="AF12" s="393">
        <v>53</v>
      </c>
      <c r="AG12" s="393">
        <v>56</v>
      </c>
    </row>
    <row r="13" spans="1:38" s="48" customFormat="1" ht="12.75">
      <c r="A13" s="10"/>
      <c r="C13" s="2" t="s">
        <v>212</v>
      </c>
      <c r="D13" s="10"/>
      <c r="E13" s="47">
        <v>50</v>
      </c>
      <c r="F13" s="47">
        <v>179</v>
      </c>
      <c r="G13" s="47">
        <v>72</v>
      </c>
      <c r="H13" s="393">
        <v>86</v>
      </c>
      <c r="I13" s="393">
        <v>54</v>
      </c>
      <c r="J13" s="393">
        <v>136</v>
      </c>
      <c r="K13" s="393">
        <v>99</v>
      </c>
      <c r="L13" s="393">
        <v>51</v>
      </c>
      <c r="M13" s="393">
        <v>61</v>
      </c>
      <c r="N13" s="393">
        <v>128</v>
      </c>
      <c r="O13" s="393">
        <v>61</v>
      </c>
      <c r="P13" s="393">
        <v>47</v>
      </c>
      <c r="Q13" s="393">
        <v>24</v>
      </c>
      <c r="R13" s="393">
        <v>85</v>
      </c>
      <c r="S13" s="393">
        <v>31</v>
      </c>
      <c r="T13" s="393">
        <v>57</v>
      </c>
      <c r="U13" s="393">
        <v>19</v>
      </c>
      <c r="V13" s="393">
        <v>87</v>
      </c>
      <c r="W13" s="393">
        <v>61</v>
      </c>
      <c r="X13" s="393">
        <v>38</v>
      </c>
      <c r="Y13" s="393">
        <v>16</v>
      </c>
      <c r="Z13" s="393">
        <v>72</v>
      </c>
      <c r="AA13" s="393">
        <v>57</v>
      </c>
      <c r="AB13" s="393">
        <v>46</v>
      </c>
      <c r="AC13" s="393">
        <v>34</v>
      </c>
      <c r="AD13" s="393">
        <v>124</v>
      </c>
      <c r="AE13" s="393">
        <v>148</v>
      </c>
      <c r="AF13" s="393">
        <v>85</v>
      </c>
      <c r="AG13" s="393">
        <v>81</v>
      </c>
    </row>
    <row r="14" spans="1:38" s="48" customFormat="1" ht="12.75">
      <c r="A14" s="10"/>
      <c r="C14" s="2" t="s">
        <v>213</v>
      </c>
      <c r="D14" s="10"/>
      <c r="E14" s="47">
        <v>36</v>
      </c>
      <c r="F14" s="47">
        <v>174</v>
      </c>
      <c r="G14" s="47">
        <v>64</v>
      </c>
      <c r="H14" s="393">
        <v>54</v>
      </c>
      <c r="I14" s="393">
        <v>45</v>
      </c>
      <c r="J14" s="393">
        <v>152</v>
      </c>
      <c r="K14" s="393">
        <v>43</v>
      </c>
      <c r="L14" s="393">
        <v>29</v>
      </c>
      <c r="M14" s="393">
        <v>33</v>
      </c>
      <c r="N14" s="393">
        <v>92</v>
      </c>
      <c r="O14" s="393">
        <v>29</v>
      </c>
      <c r="P14" s="393">
        <v>24</v>
      </c>
      <c r="Q14" s="393">
        <v>16</v>
      </c>
      <c r="R14" s="393">
        <v>96</v>
      </c>
      <c r="S14" s="393">
        <v>7</v>
      </c>
      <c r="T14" s="393">
        <v>20</v>
      </c>
      <c r="U14" s="393">
        <v>10</v>
      </c>
      <c r="V14" s="393">
        <v>52</v>
      </c>
      <c r="W14" s="393">
        <v>38</v>
      </c>
      <c r="X14" s="393">
        <v>14</v>
      </c>
      <c r="Y14" s="393">
        <v>5</v>
      </c>
      <c r="Z14" s="393">
        <v>31</v>
      </c>
      <c r="AA14" s="393">
        <v>2</v>
      </c>
      <c r="AB14" s="393">
        <v>11</v>
      </c>
      <c r="AC14" s="393">
        <v>7</v>
      </c>
      <c r="AD14" s="393">
        <v>14</v>
      </c>
      <c r="AE14" s="393">
        <v>3</v>
      </c>
      <c r="AF14" s="393">
        <v>3</v>
      </c>
      <c r="AG14" s="393">
        <v>5</v>
      </c>
    </row>
    <row r="15" spans="1:38" ht="12.75">
      <c r="A15" s="10"/>
      <c r="B15" s="10"/>
      <c r="C15" s="6" t="s">
        <v>47</v>
      </c>
      <c r="D15" s="10"/>
      <c r="E15" s="15">
        <v>200</v>
      </c>
      <c r="F15" s="15">
        <v>196</v>
      </c>
      <c r="G15" s="15">
        <v>117</v>
      </c>
      <c r="H15" s="394">
        <v>123</v>
      </c>
      <c r="I15" s="394">
        <v>122</v>
      </c>
      <c r="J15" s="394">
        <v>265</v>
      </c>
      <c r="K15" s="394">
        <f>143-7-2</f>
        <v>134</v>
      </c>
      <c r="L15" s="394">
        <f>104-5-2</f>
        <v>97</v>
      </c>
      <c r="M15" s="394">
        <f>119-1-3</f>
        <v>115</v>
      </c>
      <c r="N15" s="394">
        <f>275-2-3</f>
        <v>270</v>
      </c>
      <c r="O15" s="394">
        <f>142-3</f>
        <v>139</v>
      </c>
      <c r="P15" s="394">
        <f>116-3</f>
        <v>113</v>
      </c>
      <c r="Q15" s="394">
        <f>133-4</f>
        <v>129</v>
      </c>
      <c r="R15" s="394">
        <f>256-7</f>
        <v>249</v>
      </c>
      <c r="S15" s="394">
        <f>124-10</f>
        <v>114</v>
      </c>
      <c r="T15" s="394">
        <f>152-7</f>
        <v>145</v>
      </c>
      <c r="U15" s="394">
        <f>131-6</f>
        <v>125</v>
      </c>
      <c r="V15" s="394">
        <f>229-7</f>
        <v>222</v>
      </c>
      <c r="W15" s="394">
        <v>125</v>
      </c>
      <c r="X15" s="394">
        <v>123</v>
      </c>
      <c r="Y15" s="394">
        <v>140</v>
      </c>
      <c r="Z15" s="394">
        <v>197</v>
      </c>
      <c r="AA15" s="394">
        <v>143</v>
      </c>
      <c r="AB15" s="394">
        <v>112</v>
      </c>
      <c r="AC15" s="394">
        <v>131</v>
      </c>
      <c r="AD15" s="394">
        <v>184</v>
      </c>
      <c r="AE15" s="394">
        <v>145</v>
      </c>
      <c r="AF15" s="394">
        <v>149</v>
      </c>
      <c r="AG15" s="394">
        <v>159</v>
      </c>
    </row>
    <row r="16" spans="1:38" ht="12.75">
      <c r="A16" s="10"/>
      <c r="B16" s="10"/>
      <c r="C16" s="6" t="s">
        <v>48</v>
      </c>
      <c r="D16" s="10"/>
      <c r="E16" s="15">
        <v>142</v>
      </c>
      <c r="F16" s="15">
        <v>244</v>
      </c>
      <c r="G16" s="15">
        <v>83</v>
      </c>
      <c r="H16" s="394">
        <v>118</v>
      </c>
      <c r="I16" s="394">
        <v>128</v>
      </c>
      <c r="J16" s="394">
        <v>215</v>
      </c>
      <c r="K16" s="394">
        <v>56</v>
      </c>
      <c r="L16" s="394">
        <f>126-1</f>
        <v>125</v>
      </c>
      <c r="M16" s="394">
        <f>111-1</f>
        <v>110</v>
      </c>
      <c r="N16" s="394">
        <f>226-1</f>
        <v>225</v>
      </c>
      <c r="O16" s="394">
        <f>64-4</f>
        <v>60</v>
      </c>
      <c r="P16" s="394">
        <v>90</v>
      </c>
      <c r="Q16" s="394">
        <f>118-3</f>
        <v>115</v>
      </c>
      <c r="R16" s="394">
        <f>284-3</f>
        <v>281</v>
      </c>
      <c r="S16" s="394">
        <v>79</v>
      </c>
      <c r="T16" s="394">
        <v>136</v>
      </c>
      <c r="U16" s="394">
        <v>131</v>
      </c>
      <c r="V16" s="394">
        <v>232</v>
      </c>
      <c r="W16" s="394">
        <v>107</v>
      </c>
      <c r="X16" s="394">
        <v>116</v>
      </c>
      <c r="Y16" s="394">
        <v>144</v>
      </c>
      <c r="Z16" s="394">
        <v>239</v>
      </c>
      <c r="AA16" s="394">
        <v>104</v>
      </c>
      <c r="AB16" s="394">
        <v>141</v>
      </c>
      <c r="AC16" s="394">
        <v>221</v>
      </c>
      <c r="AD16" s="394">
        <v>247</v>
      </c>
      <c r="AE16" s="394">
        <v>92</v>
      </c>
      <c r="AF16" s="394">
        <v>164</v>
      </c>
      <c r="AG16" s="394">
        <v>189</v>
      </c>
    </row>
    <row r="17" spans="1:36" ht="12.75">
      <c r="A17" s="10"/>
      <c r="B17" s="10"/>
      <c r="C17" s="6" t="s">
        <v>49</v>
      </c>
      <c r="D17" s="10"/>
      <c r="E17" s="15">
        <v>94</v>
      </c>
      <c r="F17" s="15">
        <v>104</v>
      </c>
      <c r="G17" s="15">
        <v>103</v>
      </c>
      <c r="H17" s="394">
        <v>92</v>
      </c>
      <c r="I17" s="394">
        <v>106</v>
      </c>
      <c r="J17" s="394">
        <v>94</v>
      </c>
      <c r="K17" s="394">
        <f>65+5</f>
        <v>70</v>
      </c>
      <c r="L17" s="480">
        <f>70+5</f>
        <v>75</v>
      </c>
      <c r="M17" s="394">
        <f>111+2</f>
        <v>113</v>
      </c>
      <c r="N17" s="394">
        <f>119+3</f>
        <v>122</v>
      </c>
      <c r="O17" s="394">
        <f>98+4</f>
        <v>102</v>
      </c>
      <c r="P17" s="394">
        <v>127</v>
      </c>
      <c r="Q17" s="394">
        <f>101+3</f>
        <v>104</v>
      </c>
      <c r="R17" s="394">
        <f>106+12+3+1</f>
        <v>122</v>
      </c>
      <c r="S17" s="394">
        <v>102</v>
      </c>
      <c r="T17" s="394">
        <v>190</v>
      </c>
      <c r="U17" s="394">
        <v>121</v>
      </c>
      <c r="V17" s="394">
        <v>148</v>
      </c>
      <c r="W17" s="394">
        <v>89</v>
      </c>
      <c r="X17" s="394">
        <v>96</v>
      </c>
      <c r="Y17" s="394">
        <v>162</v>
      </c>
      <c r="Z17" s="394">
        <v>143</v>
      </c>
      <c r="AA17" s="394">
        <v>95</v>
      </c>
      <c r="AB17" s="394">
        <v>107</v>
      </c>
      <c r="AC17" s="394">
        <v>140</v>
      </c>
      <c r="AD17" s="394">
        <v>75</v>
      </c>
      <c r="AE17" s="394">
        <v>86</v>
      </c>
      <c r="AF17" s="394">
        <v>102</v>
      </c>
      <c r="AG17" s="394">
        <v>109</v>
      </c>
    </row>
    <row r="18" spans="1:36" ht="12.75">
      <c r="A18" s="10"/>
      <c r="B18" s="10"/>
      <c r="C18" s="6" t="s">
        <v>50</v>
      </c>
      <c r="D18" s="10"/>
      <c r="E18" s="15">
        <v>61</v>
      </c>
      <c r="F18" s="15">
        <v>32</v>
      </c>
      <c r="G18" s="15">
        <v>15</v>
      </c>
      <c r="H18" s="394">
        <v>15</v>
      </c>
      <c r="I18" s="394">
        <v>-1</v>
      </c>
      <c r="J18" s="394">
        <v>-6</v>
      </c>
      <c r="K18" s="394">
        <v>0</v>
      </c>
      <c r="L18" s="394">
        <v>0</v>
      </c>
      <c r="M18" s="394">
        <v>0</v>
      </c>
      <c r="N18" s="394">
        <v>0</v>
      </c>
      <c r="O18" s="394">
        <v>19</v>
      </c>
      <c r="P18" s="394">
        <v>3</v>
      </c>
      <c r="Q18" s="394">
        <v>3</v>
      </c>
      <c r="R18" s="394">
        <f>2-1</f>
        <v>1</v>
      </c>
      <c r="S18" s="394">
        <v>0</v>
      </c>
      <c r="T18" s="394">
        <v>0</v>
      </c>
      <c r="U18" s="394">
        <v>0</v>
      </c>
      <c r="V18" s="394">
        <v>0</v>
      </c>
      <c r="W18" s="394">
        <v>0</v>
      </c>
      <c r="X18" s="394">
        <v>0</v>
      </c>
      <c r="Y18" s="394">
        <v>0</v>
      </c>
      <c r="Z18" s="394">
        <v>0</v>
      </c>
      <c r="AA18" s="394">
        <v>0</v>
      </c>
      <c r="AB18" s="394">
        <v>0</v>
      </c>
      <c r="AC18" s="394">
        <v>0</v>
      </c>
      <c r="AD18" s="394">
        <v>0</v>
      </c>
      <c r="AE18" s="394">
        <v>0</v>
      </c>
      <c r="AF18" s="394">
        <v>0</v>
      </c>
      <c r="AG18" s="394">
        <v>0</v>
      </c>
    </row>
    <row r="19" spans="1:36">
      <c r="A19" s="10"/>
      <c r="B19" s="10"/>
      <c r="C19" s="6" t="s">
        <v>51</v>
      </c>
      <c r="D19" s="10"/>
      <c r="E19" s="16">
        <v>0</v>
      </c>
      <c r="F19" s="16">
        <v>0</v>
      </c>
      <c r="G19" s="16">
        <v>0</v>
      </c>
      <c r="H19" s="395">
        <v>0</v>
      </c>
      <c r="I19" s="395">
        <v>0</v>
      </c>
      <c r="J19" s="395">
        <v>409</v>
      </c>
      <c r="K19" s="395">
        <v>0</v>
      </c>
      <c r="L19" s="395">
        <v>0</v>
      </c>
      <c r="M19" s="395">
        <v>0</v>
      </c>
      <c r="N19" s="395">
        <v>326</v>
      </c>
      <c r="O19" s="395">
        <v>0</v>
      </c>
      <c r="P19" s="395">
        <v>0</v>
      </c>
      <c r="Q19" s="395">
        <v>0</v>
      </c>
      <c r="R19" s="395">
        <v>0</v>
      </c>
      <c r="S19" s="395">
        <v>0</v>
      </c>
      <c r="T19" s="395">
        <v>0</v>
      </c>
      <c r="U19" s="395">
        <v>0</v>
      </c>
      <c r="V19" s="395">
        <v>0</v>
      </c>
      <c r="W19" s="395">
        <v>0</v>
      </c>
      <c r="X19" s="395">
        <v>0</v>
      </c>
      <c r="Y19" s="395">
        <v>0</v>
      </c>
      <c r="Z19" s="395">
        <v>0</v>
      </c>
      <c r="AA19" s="395">
        <v>0</v>
      </c>
      <c r="AB19" s="395">
        <v>0</v>
      </c>
      <c r="AC19" s="395">
        <v>0</v>
      </c>
      <c r="AD19" s="395">
        <v>0</v>
      </c>
      <c r="AE19" s="395">
        <v>0</v>
      </c>
      <c r="AF19" s="395">
        <v>0</v>
      </c>
      <c r="AG19" s="395">
        <v>0</v>
      </c>
    </row>
    <row r="20" spans="1:36">
      <c r="A20" s="10"/>
      <c r="B20" s="10"/>
      <c r="C20" s="10"/>
      <c r="D20" s="10" t="s">
        <v>202</v>
      </c>
      <c r="E20" s="16">
        <f>SUM(E11:E19)</f>
        <v>905</v>
      </c>
      <c r="F20" s="16">
        <f t="shared" ref="F20:P20" si="0">SUM(F11:F19)</f>
        <v>1787</v>
      </c>
      <c r="G20" s="16">
        <f t="shared" si="0"/>
        <v>802</v>
      </c>
      <c r="H20" s="395">
        <f t="shared" si="0"/>
        <v>820</v>
      </c>
      <c r="I20" s="395">
        <f t="shared" si="0"/>
        <v>694</v>
      </c>
      <c r="J20" s="395">
        <f t="shared" si="0"/>
        <v>1989</v>
      </c>
      <c r="K20" s="395">
        <f t="shared" si="0"/>
        <v>797</v>
      </c>
      <c r="L20" s="395">
        <f t="shared" si="0"/>
        <v>667</v>
      </c>
      <c r="M20" s="395">
        <f t="shared" si="0"/>
        <v>690</v>
      </c>
      <c r="N20" s="395">
        <f t="shared" si="0"/>
        <v>1824</v>
      </c>
      <c r="O20" s="395">
        <f t="shared" si="0"/>
        <v>775</v>
      </c>
      <c r="P20" s="395">
        <f t="shared" si="0"/>
        <v>679</v>
      </c>
      <c r="Q20" s="395">
        <f t="shared" ref="Q20:R20" si="1">SUM(Q11:Q19)</f>
        <v>592</v>
      </c>
      <c r="R20" s="395">
        <f t="shared" si="1"/>
        <v>1382</v>
      </c>
      <c r="S20" s="395">
        <f t="shared" ref="S20:T20" si="2">SUM(S11:S19)</f>
        <v>659</v>
      </c>
      <c r="T20" s="395">
        <f t="shared" si="2"/>
        <v>848</v>
      </c>
      <c r="U20" s="395">
        <f t="shared" ref="U20:V20" si="3">SUM(U11:U19)</f>
        <v>614</v>
      </c>
      <c r="V20" s="395">
        <f t="shared" si="3"/>
        <v>1284</v>
      </c>
      <c r="W20" s="395">
        <f t="shared" ref="W20:X20" si="4">SUM(W11:W19)</f>
        <v>737</v>
      </c>
      <c r="X20" s="395">
        <f t="shared" si="4"/>
        <v>620</v>
      </c>
      <c r="Y20" s="395">
        <f t="shared" ref="Y20:Z20" si="5">SUM(Y11:Y19)</f>
        <v>621</v>
      </c>
      <c r="Z20" s="395">
        <f t="shared" si="5"/>
        <v>1234</v>
      </c>
      <c r="AA20" s="395">
        <f t="shared" ref="AA20:AB20" si="6">SUM(AA11:AA19)</f>
        <v>684</v>
      </c>
      <c r="AB20" s="395">
        <f t="shared" si="6"/>
        <v>660</v>
      </c>
      <c r="AC20" s="395">
        <f t="shared" ref="AC20:AD20" si="7">SUM(AC11:AC19)</f>
        <v>745</v>
      </c>
      <c r="AD20" s="395">
        <f t="shared" si="7"/>
        <v>1137</v>
      </c>
      <c r="AE20" s="395">
        <f t="shared" ref="AE20:AF20" si="8">SUM(AE11:AE19)</f>
        <v>736</v>
      </c>
      <c r="AF20" s="395">
        <f t="shared" si="8"/>
        <v>712</v>
      </c>
      <c r="AG20" s="395">
        <f>SUM(AG11:AG19)</f>
        <v>794</v>
      </c>
    </row>
    <row r="21" spans="1:36" ht="12.75">
      <c r="A21" s="11"/>
      <c r="B21" s="25" t="s">
        <v>1</v>
      </c>
      <c r="C21" s="3"/>
      <c r="D21" s="11"/>
      <c r="E21" s="14">
        <f t="shared" ref="E21:P21" si="9">+E9-E20</f>
        <v>-194</v>
      </c>
      <c r="F21" s="14">
        <f t="shared" si="9"/>
        <v>-148</v>
      </c>
      <c r="G21" s="14">
        <f t="shared" si="9"/>
        <v>179</v>
      </c>
      <c r="H21" s="396">
        <f t="shared" si="9"/>
        <v>218</v>
      </c>
      <c r="I21" s="396">
        <f t="shared" si="9"/>
        <v>9</v>
      </c>
      <c r="J21" s="396">
        <f t="shared" si="9"/>
        <v>-432</v>
      </c>
      <c r="K21" s="396">
        <f t="shared" si="9"/>
        <v>511</v>
      </c>
      <c r="L21" s="396">
        <f t="shared" si="9"/>
        <v>300</v>
      </c>
      <c r="M21" s="396">
        <f t="shared" si="9"/>
        <v>55</v>
      </c>
      <c r="N21" s="396">
        <f t="shared" si="9"/>
        <v>-397</v>
      </c>
      <c r="O21" s="396">
        <f t="shared" si="9"/>
        <v>674</v>
      </c>
      <c r="P21" s="396">
        <f t="shared" si="9"/>
        <v>467</v>
      </c>
      <c r="Q21" s="396">
        <f t="shared" ref="Q21:R21" si="10">+Q9-Q20</f>
        <v>162</v>
      </c>
      <c r="R21" s="396">
        <f t="shared" si="10"/>
        <v>25</v>
      </c>
      <c r="S21" s="396">
        <f t="shared" ref="S21:T21" si="11">+S9-S20</f>
        <v>513</v>
      </c>
      <c r="T21" s="396">
        <f t="shared" si="11"/>
        <v>227</v>
      </c>
      <c r="U21" s="396">
        <f t="shared" ref="U21:V21" si="12">+U9-U20</f>
        <v>227</v>
      </c>
      <c r="V21" s="396">
        <f t="shared" si="12"/>
        <v>484</v>
      </c>
      <c r="W21" s="396">
        <f t="shared" ref="W21:X21" si="13">+W9-W20</f>
        <v>587</v>
      </c>
      <c r="X21" s="396">
        <f t="shared" si="13"/>
        <v>430</v>
      </c>
      <c r="Y21" s="396">
        <f t="shared" ref="Y21:Z21" si="14">+Y9-Y20</f>
        <v>70</v>
      </c>
      <c r="Z21" s="396">
        <f t="shared" si="14"/>
        <v>284</v>
      </c>
      <c r="AA21" s="396">
        <f t="shared" ref="AA21:AB21" si="15">+AA9-AA20</f>
        <v>427</v>
      </c>
      <c r="AB21" s="396">
        <f t="shared" si="15"/>
        <v>310</v>
      </c>
      <c r="AC21" s="396">
        <f t="shared" ref="AC21:AD21" si="16">+AC9-AC20</f>
        <v>8</v>
      </c>
      <c r="AD21" s="396">
        <f t="shared" si="16"/>
        <v>438</v>
      </c>
      <c r="AE21" s="396">
        <f t="shared" ref="AE21:AF21" si="17">+AE9-AE20</f>
        <v>542</v>
      </c>
      <c r="AF21" s="396">
        <f t="shared" si="17"/>
        <v>332</v>
      </c>
      <c r="AG21" s="396">
        <f>+AG9-AG20</f>
        <v>196</v>
      </c>
    </row>
    <row r="22" spans="1:36">
      <c r="A22" s="12"/>
      <c r="B22" s="663" t="s">
        <v>334</v>
      </c>
      <c r="C22" s="664"/>
      <c r="D22" s="664"/>
      <c r="E22" s="16">
        <v>-24</v>
      </c>
      <c r="F22" s="16">
        <v>-18</v>
      </c>
      <c r="G22" s="16">
        <v>-10</v>
      </c>
      <c r="H22" s="395">
        <v>0</v>
      </c>
      <c r="I22" s="395">
        <v>-11</v>
      </c>
      <c r="J22" s="395">
        <v>3</v>
      </c>
      <c r="K22" s="395">
        <v>0</v>
      </c>
      <c r="L22" s="395">
        <v>-1</v>
      </c>
      <c r="M22" s="395">
        <v>-14</v>
      </c>
      <c r="N22" s="395">
        <v>-8</v>
      </c>
      <c r="O22" s="395">
        <v>-2</v>
      </c>
      <c r="P22" s="395">
        <v>-2</v>
      </c>
      <c r="Q22" s="395">
        <v>-3</v>
      </c>
      <c r="R22" s="395">
        <v>5</v>
      </c>
      <c r="S22" s="395">
        <v>-1</v>
      </c>
      <c r="T22" s="395">
        <v>-2</v>
      </c>
      <c r="U22" s="395">
        <v>-1</v>
      </c>
      <c r="V22" s="395">
        <v>-3</v>
      </c>
      <c r="W22" s="395">
        <v>-2</v>
      </c>
      <c r="X22" s="395">
        <v>0</v>
      </c>
      <c r="Y22" s="395">
        <v>4</v>
      </c>
      <c r="Z22" s="395">
        <v>51</v>
      </c>
      <c r="AA22" s="395">
        <v>51</v>
      </c>
      <c r="AB22" s="395">
        <v>50</v>
      </c>
      <c r="AC22" s="395">
        <v>51</v>
      </c>
      <c r="AD22" s="395">
        <v>50</v>
      </c>
      <c r="AE22" s="395">
        <v>50</v>
      </c>
      <c r="AF22" s="395">
        <v>50</v>
      </c>
      <c r="AG22" s="395">
        <v>51</v>
      </c>
    </row>
    <row r="23" spans="1:36" ht="12.75">
      <c r="A23" s="12"/>
      <c r="B23" s="22" t="s">
        <v>325</v>
      </c>
      <c r="C23" s="4"/>
      <c r="D23" s="12"/>
      <c r="E23" s="394">
        <f>E21-E22</f>
        <v>-170</v>
      </c>
      <c r="F23" s="394">
        <f t="shared" ref="F23:AD23" si="18">F21-F22</f>
        <v>-130</v>
      </c>
      <c r="G23" s="394">
        <f t="shared" si="18"/>
        <v>189</v>
      </c>
      <c r="H23" s="394">
        <f t="shared" si="18"/>
        <v>218</v>
      </c>
      <c r="I23" s="394">
        <f t="shared" si="18"/>
        <v>20</v>
      </c>
      <c r="J23" s="394">
        <f t="shared" si="18"/>
        <v>-435</v>
      </c>
      <c r="K23" s="394">
        <f t="shared" si="18"/>
        <v>511</v>
      </c>
      <c r="L23" s="394">
        <f t="shared" si="18"/>
        <v>301</v>
      </c>
      <c r="M23" s="394">
        <f t="shared" si="18"/>
        <v>69</v>
      </c>
      <c r="N23" s="394">
        <f t="shared" si="18"/>
        <v>-389</v>
      </c>
      <c r="O23" s="394">
        <f t="shared" si="18"/>
        <v>676</v>
      </c>
      <c r="P23" s="394">
        <f t="shared" si="18"/>
        <v>469</v>
      </c>
      <c r="Q23" s="394">
        <f t="shared" si="18"/>
        <v>165</v>
      </c>
      <c r="R23" s="394">
        <f t="shared" si="18"/>
        <v>20</v>
      </c>
      <c r="S23" s="394">
        <f t="shared" si="18"/>
        <v>514</v>
      </c>
      <c r="T23" s="394">
        <f t="shared" si="18"/>
        <v>229</v>
      </c>
      <c r="U23" s="394">
        <f t="shared" si="18"/>
        <v>228</v>
      </c>
      <c r="V23" s="394">
        <f t="shared" si="18"/>
        <v>487</v>
      </c>
      <c r="W23" s="394">
        <f t="shared" si="18"/>
        <v>589</v>
      </c>
      <c r="X23" s="394">
        <f t="shared" si="18"/>
        <v>430</v>
      </c>
      <c r="Y23" s="394">
        <f t="shared" si="18"/>
        <v>66</v>
      </c>
      <c r="Z23" s="394">
        <f t="shared" si="18"/>
        <v>233</v>
      </c>
      <c r="AA23" s="394">
        <f t="shared" si="18"/>
        <v>376</v>
      </c>
      <c r="AB23" s="394">
        <f t="shared" si="18"/>
        <v>260</v>
      </c>
      <c r="AC23" s="394">
        <f t="shared" si="18"/>
        <v>-43</v>
      </c>
      <c r="AD23" s="394">
        <f t="shared" si="18"/>
        <v>388</v>
      </c>
      <c r="AE23" s="394">
        <f>AE21-AE22</f>
        <v>492</v>
      </c>
      <c r="AF23" s="394">
        <f>AF21-AF22</f>
        <v>282</v>
      </c>
      <c r="AG23" s="394">
        <f>AG21-AG22</f>
        <v>145</v>
      </c>
    </row>
    <row r="24" spans="1:36">
      <c r="A24" s="12"/>
      <c r="B24" s="2" t="s">
        <v>326</v>
      </c>
      <c r="C24" s="4"/>
      <c r="D24" s="12"/>
      <c r="E24" s="16">
        <v>-62</v>
      </c>
      <c r="F24" s="16">
        <v>-58</v>
      </c>
      <c r="G24" s="16">
        <v>0</v>
      </c>
      <c r="H24" s="395">
        <v>23</v>
      </c>
      <c r="I24" s="395">
        <v>5</v>
      </c>
      <c r="J24" s="395">
        <v>-149</v>
      </c>
      <c r="K24" s="395">
        <v>130</v>
      </c>
      <c r="L24" s="395">
        <v>82</v>
      </c>
      <c r="M24" s="395">
        <v>18</v>
      </c>
      <c r="N24" s="395">
        <v>-156</v>
      </c>
      <c r="O24" s="395">
        <v>173</v>
      </c>
      <c r="P24" s="395">
        <v>134</v>
      </c>
      <c r="Q24" s="395">
        <v>17</v>
      </c>
      <c r="R24" s="395">
        <v>-79</v>
      </c>
      <c r="S24" s="395">
        <v>130</v>
      </c>
      <c r="T24" s="395">
        <v>44</v>
      </c>
      <c r="U24" s="395">
        <v>2</v>
      </c>
      <c r="V24" s="395">
        <v>133</v>
      </c>
      <c r="W24" s="395">
        <v>133</v>
      </c>
      <c r="X24" s="395">
        <v>106</v>
      </c>
      <c r="Y24" s="395">
        <v>10</v>
      </c>
      <c r="Z24" s="395">
        <v>59</v>
      </c>
      <c r="AA24" s="395">
        <v>83</v>
      </c>
      <c r="AB24" s="395">
        <v>56</v>
      </c>
      <c r="AC24" s="395">
        <v>-20</v>
      </c>
      <c r="AD24" s="395">
        <v>27</v>
      </c>
      <c r="AE24" s="395">
        <v>98</v>
      </c>
      <c r="AF24" s="395">
        <v>70</v>
      </c>
      <c r="AG24" s="395">
        <v>18</v>
      </c>
    </row>
    <row r="25" spans="1:36">
      <c r="A25" s="9"/>
      <c r="B25" s="25" t="s">
        <v>2</v>
      </c>
      <c r="C25" s="9"/>
      <c r="D25" s="9"/>
      <c r="E25" s="17">
        <f>E23-E24</f>
        <v>-108</v>
      </c>
      <c r="F25" s="17">
        <f t="shared" ref="F25:O25" si="19">F23-F24</f>
        <v>-72</v>
      </c>
      <c r="G25" s="17">
        <f t="shared" si="19"/>
        <v>189</v>
      </c>
      <c r="H25" s="397">
        <f t="shared" si="19"/>
        <v>195</v>
      </c>
      <c r="I25" s="397">
        <f t="shared" si="19"/>
        <v>15</v>
      </c>
      <c r="J25" s="397">
        <f t="shared" si="19"/>
        <v>-286</v>
      </c>
      <c r="K25" s="397">
        <f t="shared" si="19"/>
        <v>381</v>
      </c>
      <c r="L25" s="397">
        <f t="shared" si="19"/>
        <v>219</v>
      </c>
      <c r="M25" s="397">
        <f t="shared" si="19"/>
        <v>51</v>
      </c>
      <c r="N25" s="397">
        <f t="shared" si="19"/>
        <v>-233</v>
      </c>
      <c r="O25" s="397">
        <f t="shared" si="19"/>
        <v>503</v>
      </c>
      <c r="P25" s="397">
        <f t="shared" ref="P25:U25" si="20">P23-P24</f>
        <v>335</v>
      </c>
      <c r="Q25" s="397">
        <f t="shared" si="20"/>
        <v>148</v>
      </c>
      <c r="R25" s="397">
        <f t="shared" si="20"/>
        <v>99</v>
      </c>
      <c r="S25" s="397">
        <f t="shared" si="20"/>
        <v>384</v>
      </c>
      <c r="T25" s="397">
        <f t="shared" si="20"/>
        <v>185</v>
      </c>
      <c r="U25" s="397">
        <f t="shared" si="20"/>
        <v>226</v>
      </c>
      <c r="V25" s="397">
        <f t="shared" ref="V25:W25" si="21">V23-V24</f>
        <v>354</v>
      </c>
      <c r="W25" s="397">
        <f t="shared" si="21"/>
        <v>456</v>
      </c>
      <c r="X25" s="397">
        <f t="shared" ref="X25:Y25" si="22">X23-X24</f>
        <v>324</v>
      </c>
      <c r="Y25" s="397">
        <f t="shared" si="22"/>
        <v>56</v>
      </c>
      <c r="Z25" s="397">
        <f t="shared" ref="Z25:AA25" si="23">Z23-Z24</f>
        <v>174</v>
      </c>
      <c r="AA25" s="397">
        <f t="shared" si="23"/>
        <v>293</v>
      </c>
      <c r="AB25" s="397">
        <f t="shared" ref="AB25:AC25" si="24">AB23-AB24</f>
        <v>204</v>
      </c>
      <c r="AC25" s="397">
        <f t="shared" si="24"/>
        <v>-23</v>
      </c>
      <c r="AD25" s="397">
        <f t="shared" ref="AD25:AE25" si="25">AD23-AD24</f>
        <v>361</v>
      </c>
      <c r="AE25" s="397">
        <f t="shared" si="25"/>
        <v>394</v>
      </c>
      <c r="AF25" s="397">
        <f t="shared" ref="AF25" si="26">AF23-AF24</f>
        <v>212</v>
      </c>
      <c r="AG25" s="397">
        <f>AG23-AG24</f>
        <v>127</v>
      </c>
    </row>
    <row r="26" spans="1:36" ht="38.25" customHeight="1">
      <c r="A26" s="10"/>
      <c r="B26" s="686" t="s">
        <v>263</v>
      </c>
      <c r="C26" s="686"/>
      <c r="D26" s="686"/>
      <c r="E26" s="586">
        <v>-108</v>
      </c>
      <c r="F26" s="587">
        <v>-72</v>
      </c>
      <c r="G26" s="587">
        <v>188</v>
      </c>
      <c r="H26" s="587">
        <v>193</v>
      </c>
      <c r="I26" s="587">
        <v>15</v>
      </c>
      <c r="J26" s="587">
        <v>-286</v>
      </c>
      <c r="K26" s="587">
        <v>378</v>
      </c>
      <c r="L26" s="587">
        <v>217</v>
      </c>
      <c r="M26" s="587">
        <v>50</v>
      </c>
      <c r="N26" s="587">
        <v>-233</v>
      </c>
      <c r="O26" s="587">
        <v>496</v>
      </c>
      <c r="P26" s="587">
        <v>330</v>
      </c>
      <c r="Q26" s="587">
        <v>146</v>
      </c>
      <c r="R26" s="587">
        <v>97</v>
      </c>
      <c r="S26" s="587">
        <v>377</v>
      </c>
      <c r="T26" s="587">
        <v>181</v>
      </c>
      <c r="U26" s="587">
        <v>221</v>
      </c>
      <c r="V26" s="587">
        <v>346</v>
      </c>
      <c r="W26" s="587">
        <v>446</v>
      </c>
      <c r="X26" s="587">
        <v>318</v>
      </c>
      <c r="Y26" s="587">
        <v>55</v>
      </c>
      <c r="Z26" s="587">
        <v>168</v>
      </c>
      <c r="AA26" s="587">
        <v>285</v>
      </c>
      <c r="AB26" s="587">
        <v>200</v>
      </c>
      <c r="AC26" s="587">
        <v>-23</v>
      </c>
      <c r="AD26" s="587">
        <v>355</v>
      </c>
      <c r="AE26" s="587">
        <v>387</v>
      </c>
      <c r="AF26" s="587">
        <v>210</v>
      </c>
      <c r="AG26" s="587">
        <v>125</v>
      </c>
      <c r="AH26" s="588"/>
      <c r="AI26" s="673"/>
    </row>
    <row r="27" spans="1:36" ht="24" customHeight="1">
      <c r="A27" s="9"/>
      <c r="B27" s="25"/>
      <c r="C27" s="9"/>
      <c r="D27" s="9"/>
      <c r="E27" s="17"/>
      <c r="F27" s="17"/>
      <c r="G27" s="17"/>
      <c r="H27" s="397"/>
      <c r="I27" s="496"/>
      <c r="J27" s="397"/>
      <c r="K27" s="397"/>
      <c r="L27" s="397"/>
      <c r="M27" s="496"/>
      <c r="N27" s="397"/>
      <c r="O27" s="397"/>
      <c r="P27" s="397"/>
      <c r="Q27" s="496"/>
      <c r="R27" s="496"/>
      <c r="S27" s="496"/>
      <c r="T27" s="496"/>
      <c r="U27" s="496"/>
      <c r="V27" s="496"/>
      <c r="W27" s="496"/>
      <c r="X27" s="496"/>
      <c r="Y27" s="496"/>
      <c r="Z27" s="496"/>
      <c r="AA27" s="496"/>
      <c r="AB27" s="496"/>
      <c r="AC27" s="496"/>
      <c r="AD27" s="496"/>
      <c r="AE27" s="496"/>
      <c r="AF27" s="496"/>
      <c r="AG27" s="496"/>
    </row>
    <row r="28" spans="1:36" ht="12.75">
      <c r="A28" s="32"/>
      <c r="B28" s="29" t="s">
        <v>32</v>
      </c>
      <c r="C28" s="29"/>
      <c r="D28" s="29"/>
      <c r="E28" s="33"/>
      <c r="F28" s="33"/>
      <c r="G28" s="33"/>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row>
    <row r="29" spans="1:36" ht="12.75">
      <c r="A29" s="32"/>
      <c r="B29" s="29"/>
      <c r="C29" s="28" t="s">
        <v>34</v>
      </c>
      <c r="D29" s="29"/>
      <c r="E29" s="35">
        <v>-0.08</v>
      </c>
      <c r="F29" s="35">
        <v>-0.05</v>
      </c>
      <c r="G29" s="35">
        <v>0.14000000000000001</v>
      </c>
      <c r="H29" s="399">
        <v>0.15</v>
      </c>
      <c r="I29" s="399">
        <v>0.01</v>
      </c>
      <c r="J29" s="399">
        <v>-0.23</v>
      </c>
      <c r="K29" s="399">
        <v>0.3</v>
      </c>
      <c r="L29" s="399">
        <v>0.18</v>
      </c>
      <c r="M29" s="399">
        <v>0.04</v>
      </c>
      <c r="N29" s="399">
        <v>-0.2</v>
      </c>
      <c r="O29" s="399">
        <v>0.42</v>
      </c>
      <c r="P29" s="400">
        <v>0.28999999999999998</v>
      </c>
      <c r="Q29" s="400">
        <v>0.13</v>
      </c>
      <c r="R29" s="400">
        <v>0.09</v>
      </c>
      <c r="S29" s="400">
        <v>0.34</v>
      </c>
      <c r="T29" s="400">
        <v>0.16</v>
      </c>
      <c r="U29" s="400">
        <v>0.2</v>
      </c>
      <c r="V29" s="400">
        <v>0.31</v>
      </c>
      <c r="W29" s="400">
        <v>0.4</v>
      </c>
      <c r="X29" s="400">
        <v>0.28000000000000003</v>
      </c>
      <c r="Y29" s="400">
        <v>0.05</v>
      </c>
      <c r="Z29" s="400">
        <v>0.23</v>
      </c>
      <c r="AA29" s="400">
        <v>0.4</v>
      </c>
      <c r="AB29" s="400">
        <v>0.28000000000000003</v>
      </c>
      <c r="AC29" s="400">
        <v>-0.03</v>
      </c>
      <c r="AD29" s="400">
        <v>0.49</v>
      </c>
      <c r="AE29" s="400">
        <v>0.54</v>
      </c>
      <c r="AF29" s="400">
        <v>0.28999999999999998</v>
      </c>
      <c r="AG29" s="400">
        <v>0.17</v>
      </c>
    </row>
    <row r="30" spans="1:36" ht="12.75">
      <c r="A30" s="32"/>
      <c r="B30" s="29"/>
      <c r="C30" s="28" t="s">
        <v>35</v>
      </c>
      <c r="D30" s="29"/>
      <c r="E30" s="35">
        <v>-0.08</v>
      </c>
      <c r="F30" s="36">
        <v>-0.05</v>
      </c>
      <c r="G30" s="36">
        <v>0.14000000000000001</v>
      </c>
      <c r="H30" s="400">
        <v>0.15</v>
      </c>
      <c r="I30" s="400">
        <v>0.01</v>
      </c>
      <c r="J30" s="400">
        <v>-0.23</v>
      </c>
      <c r="K30" s="400">
        <v>0.3</v>
      </c>
      <c r="L30" s="399">
        <v>0.17</v>
      </c>
      <c r="M30" s="399">
        <v>0.04</v>
      </c>
      <c r="N30" s="399">
        <v>-0.2</v>
      </c>
      <c r="O30" s="399">
        <v>0.42</v>
      </c>
      <c r="P30" s="400">
        <v>0.28999999999999998</v>
      </c>
      <c r="Q30" s="400">
        <v>0.13</v>
      </c>
      <c r="R30" s="400">
        <v>0.08</v>
      </c>
      <c r="S30" s="400">
        <v>0.33</v>
      </c>
      <c r="T30" s="400">
        <v>0.16</v>
      </c>
      <c r="U30" s="400">
        <v>0.2</v>
      </c>
      <c r="V30" s="400">
        <v>0.31</v>
      </c>
      <c r="W30" s="400">
        <v>0.4</v>
      </c>
      <c r="X30" s="400">
        <v>0.28000000000000003</v>
      </c>
      <c r="Y30" s="400">
        <v>0.05</v>
      </c>
      <c r="Z30" s="400">
        <v>0.22</v>
      </c>
      <c r="AA30" s="400">
        <v>0.4</v>
      </c>
      <c r="AB30" s="400">
        <v>0.28000000000000003</v>
      </c>
      <c r="AC30" s="400">
        <v>-0.03</v>
      </c>
      <c r="AD30" s="400">
        <v>0.49</v>
      </c>
      <c r="AE30" s="400">
        <v>0.53</v>
      </c>
      <c r="AF30" s="400">
        <v>0.28999999999999998</v>
      </c>
      <c r="AG30" s="400">
        <v>0.17</v>
      </c>
      <c r="AJ30" s="483"/>
    </row>
    <row r="31" spans="1:36" ht="4.1500000000000004" customHeight="1">
      <c r="A31" s="32"/>
      <c r="B31" s="29"/>
      <c r="C31" s="29"/>
      <c r="D31" s="29"/>
      <c r="P31" s="401"/>
      <c r="Q31" s="401"/>
      <c r="R31" s="401"/>
      <c r="S31" s="401"/>
      <c r="T31" s="401"/>
      <c r="U31" s="401"/>
      <c r="V31" s="401"/>
      <c r="W31" s="401"/>
      <c r="X31" s="401"/>
      <c r="Y31" s="401"/>
      <c r="Z31" s="401"/>
      <c r="AA31" s="401"/>
      <c r="AB31" s="401"/>
      <c r="AC31" s="401"/>
      <c r="AD31" s="401"/>
      <c r="AE31" s="401"/>
      <c r="AF31" s="401"/>
      <c r="AG31" s="401"/>
    </row>
    <row r="32" spans="1:36">
      <c r="A32" s="32"/>
      <c r="B32" s="5" t="s">
        <v>33</v>
      </c>
      <c r="C32" s="32"/>
      <c r="D32" s="29"/>
      <c r="G32" s="386"/>
      <c r="H32" s="402"/>
      <c r="L32" s="402"/>
      <c r="P32" s="403"/>
      <c r="Q32" s="403"/>
      <c r="R32" s="403"/>
      <c r="S32" s="403"/>
      <c r="T32" s="403"/>
      <c r="U32" s="403"/>
      <c r="V32" s="403"/>
      <c r="W32" s="403"/>
      <c r="X32" s="403"/>
      <c r="Y32" s="403"/>
      <c r="Z32" s="403"/>
      <c r="AA32" s="403"/>
      <c r="AB32" s="403"/>
      <c r="AC32" s="403"/>
      <c r="AD32" s="403"/>
      <c r="AE32" s="403"/>
      <c r="AF32" s="403"/>
      <c r="AG32" s="403"/>
      <c r="AJ32" s="483"/>
    </row>
    <row r="33" spans="1:36" ht="12.75">
      <c r="A33" s="32"/>
      <c r="B33" s="29"/>
      <c r="C33" s="18" t="s">
        <v>34</v>
      </c>
      <c r="D33" s="29"/>
      <c r="E33" s="46">
        <v>1271</v>
      </c>
      <c r="F33" s="46">
        <v>1326</v>
      </c>
      <c r="G33" s="46">
        <v>1308</v>
      </c>
      <c r="H33" s="404">
        <v>1289</v>
      </c>
      <c r="I33" s="404">
        <v>1271</v>
      </c>
      <c r="J33" s="404">
        <v>1265</v>
      </c>
      <c r="K33" s="404">
        <v>1248</v>
      </c>
      <c r="L33" s="404">
        <v>1232</v>
      </c>
      <c r="M33" s="404">
        <v>1212</v>
      </c>
      <c r="N33" s="404">
        <v>1198</v>
      </c>
      <c r="O33" s="404">
        <v>1173</v>
      </c>
      <c r="P33" s="404">
        <v>1141</v>
      </c>
      <c r="Q33" s="404">
        <v>1140</v>
      </c>
      <c r="R33" s="404">
        <v>1139</v>
      </c>
      <c r="S33" s="404">
        <v>1120</v>
      </c>
      <c r="T33" s="404">
        <v>1109</v>
      </c>
      <c r="U33" s="404">
        <v>1109</v>
      </c>
      <c r="V33" s="404">
        <v>1111</v>
      </c>
      <c r="W33" s="404">
        <v>1113</v>
      </c>
      <c r="X33" s="404">
        <v>1118</v>
      </c>
      <c r="Y33" s="404">
        <v>1122</v>
      </c>
      <c r="Z33" s="404">
        <v>745</v>
      </c>
      <c r="AA33" s="404">
        <v>709</v>
      </c>
      <c r="AB33" s="404">
        <v>716</v>
      </c>
      <c r="AC33" s="404">
        <v>718</v>
      </c>
      <c r="AD33" s="404">
        <v>720</v>
      </c>
      <c r="AE33" s="404">
        <v>723</v>
      </c>
      <c r="AF33" s="404">
        <v>727</v>
      </c>
      <c r="AG33" s="404">
        <v>730</v>
      </c>
      <c r="AJ33" s="609"/>
    </row>
    <row r="34" spans="1:36" ht="12.75">
      <c r="A34" s="32"/>
      <c r="B34" s="29"/>
      <c r="C34" s="18" t="s">
        <v>35</v>
      </c>
      <c r="D34" s="29"/>
      <c r="E34" s="46">
        <v>1271</v>
      </c>
      <c r="F34" s="46">
        <v>1326</v>
      </c>
      <c r="G34" s="37">
        <v>1359</v>
      </c>
      <c r="H34" s="404">
        <v>1332</v>
      </c>
      <c r="I34" s="404">
        <v>1297</v>
      </c>
      <c r="J34" s="404">
        <v>1265</v>
      </c>
      <c r="K34" s="404">
        <v>1264</v>
      </c>
      <c r="L34" s="404">
        <v>1248</v>
      </c>
      <c r="M34" s="404">
        <v>1227</v>
      </c>
      <c r="N34" s="404">
        <v>1198</v>
      </c>
      <c r="O34" s="404">
        <v>1182</v>
      </c>
      <c r="P34" s="404">
        <v>1150</v>
      </c>
      <c r="Q34" s="404">
        <v>1148</v>
      </c>
      <c r="R34" s="404">
        <v>1147</v>
      </c>
      <c r="S34" s="404">
        <v>1127</v>
      </c>
      <c r="T34" s="404">
        <v>1115</v>
      </c>
      <c r="U34" s="404">
        <v>1114</v>
      </c>
      <c r="V34" s="404">
        <v>1115</v>
      </c>
      <c r="W34" s="404">
        <v>1120</v>
      </c>
      <c r="X34" s="404">
        <v>1127</v>
      </c>
      <c r="Y34" s="404">
        <v>1134</v>
      </c>
      <c r="Z34" s="404">
        <v>757</v>
      </c>
      <c r="AA34" s="404">
        <v>720</v>
      </c>
      <c r="AB34" s="404">
        <v>725</v>
      </c>
      <c r="AC34" s="404">
        <v>718</v>
      </c>
      <c r="AD34" s="404">
        <v>729</v>
      </c>
      <c r="AE34" s="404">
        <v>731</v>
      </c>
      <c r="AF34" s="404">
        <v>735</v>
      </c>
      <c r="AG34" s="404">
        <v>739</v>
      </c>
      <c r="AJ34" s="609"/>
    </row>
    <row r="35" spans="1:36">
      <c r="A35" s="32"/>
      <c r="B35" s="29"/>
      <c r="C35" s="18" t="s">
        <v>286</v>
      </c>
      <c r="D35" s="29"/>
      <c r="E35" s="644">
        <v>0</v>
      </c>
      <c r="F35" s="644">
        <v>0</v>
      </c>
      <c r="G35" s="645">
        <v>10</v>
      </c>
      <c r="H35" s="646">
        <v>10</v>
      </c>
      <c r="I35" s="646">
        <v>10</v>
      </c>
      <c r="J35" s="646">
        <v>11</v>
      </c>
      <c r="K35" s="646">
        <v>11</v>
      </c>
      <c r="L35" s="646">
        <v>10</v>
      </c>
      <c r="M35" s="646">
        <v>11</v>
      </c>
      <c r="N35" s="646">
        <v>15</v>
      </c>
      <c r="O35" s="646">
        <v>17</v>
      </c>
      <c r="P35" s="646">
        <v>17</v>
      </c>
      <c r="Q35" s="646">
        <v>17</v>
      </c>
      <c r="R35" s="646">
        <v>17</v>
      </c>
      <c r="S35" s="646">
        <v>19</v>
      </c>
      <c r="T35" s="646">
        <v>24</v>
      </c>
      <c r="U35" s="646">
        <v>27</v>
      </c>
      <c r="V35" s="646">
        <v>27</v>
      </c>
      <c r="W35" s="646">
        <v>26</v>
      </c>
      <c r="X35" s="646">
        <v>24</v>
      </c>
      <c r="Y35" s="646">
        <v>24</v>
      </c>
      <c r="Z35" s="646">
        <v>23</v>
      </c>
      <c r="AA35" s="646">
        <v>17</v>
      </c>
      <c r="AB35" s="646">
        <v>16</v>
      </c>
      <c r="AC35" s="646">
        <v>14</v>
      </c>
      <c r="AD35" s="646">
        <v>12</v>
      </c>
      <c r="AE35" s="646">
        <v>10</v>
      </c>
      <c r="AF35" s="646">
        <v>9</v>
      </c>
      <c r="AG35" s="646">
        <v>8</v>
      </c>
      <c r="AJ35" s="609"/>
    </row>
    <row r="36" spans="1:36" ht="12.75">
      <c r="A36" s="32"/>
      <c r="B36" s="29"/>
      <c r="C36" s="18" t="s">
        <v>305</v>
      </c>
      <c r="D36" s="29"/>
      <c r="E36" s="46">
        <f>SUM(E34:E35)</f>
        <v>1271</v>
      </c>
      <c r="F36" s="46">
        <f t="shared" ref="F36:AH36" si="27">SUM(F34:F35)</f>
        <v>1326</v>
      </c>
      <c r="G36" s="46">
        <f t="shared" si="27"/>
        <v>1369</v>
      </c>
      <c r="H36" s="46">
        <f t="shared" si="27"/>
        <v>1342</v>
      </c>
      <c r="I36" s="46">
        <f t="shared" si="27"/>
        <v>1307</v>
      </c>
      <c r="J36" s="46">
        <f t="shared" si="27"/>
        <v>1276</v>
      </c>
      <c r="K36" s="46">
        <f t="shared" si="27"/>
        <v>1275</v>
      </c>
      <c r="L36" s="46">
        <f t="shared" si="27"/>
        <v>1258</v>
      </c>
      <c r="M36" s="46">
        <f t="shared" si="27"/>
        <v>1238</v>
      </c>
      <c r="N36" s="46">
        <f t="shared" si="27"/>
        <v>1213</v>
      </c>
      <c r="O36" s="46">
        <f t="shared" si="27"/>
        <v>1199</v>
      </c>
      <c r="P36" s="46">
        <f t="shared" si="27"/>
        <v>1167</v>
      </c>
      <c r="Q36" s="46">
        <f t="shared" si="27"/>
        <v>1165</v>
      </c>
      <c r="R36" s="46">
        <f t="shared" si="27"/>
        <v>1164</v>
      </c>
      <c r="S36" s="46">
        <f t="shared" si="27"/>
        <v>1146</v>
      </c>
      <c r="T36" s="46">
        <f t="shared" si="27"/>
        <v>1139</v>
      </c>
      <c r="U36" s="46">
        <f t="shared" si="27"/>
        <v>1141</v>
      </c>
      <c r="V36" s="46">
        <f t="shared" si="27"/>
        <v>1142</v>
      </c>
      <c r="W36" s="46">
        <f t="shared" si="27"/>
        <v>1146</v>
      </c>
      <c r="X36" s="46">
        <f t="shared" si="27"/>
        <v>1151</v>
      </c>
      <c r="Y36" s="46">
        <f t="shared" si="27"/>
        <v>1158</v>
      </c>
      <c r="Z36" s="46">
        <f t="shared" si="27"/>
        <v>780</v>
      </c>
      <c r="AA36" s="46">
        <f t="shared" ref="AA36:AB36" si="28">SUM(AA34:AA35)</f>
        <v>737</v>
      </c>
      <c r="AB36" s="46">
        <f t="shared" si="28"/>
        <v>741</v>
      </c>
      <c r="AC36" s="46">
        <f t="shared" ref="AC36:AD36" si="29">SUM(AC34:AC35)</f>
        <v>732</v>
      </c>
      <c r="AD36" s="46">
        <f t="shared" si="29"/>
        <v>741</v>
      </c>
      <c r="AE36" s="46">
        <f t="shared" ref="AE36:AF36" si="30">SUM(AE34:AE35)</f>
        <v>741</v>
      </c>
      <c r="AF36" s="46">
        <f t="shared" si="30"/>
        <v>744</v>
      </c>
      <c r="AG36" s="46">
        <f>SUM(AG34:AG35)</f>
        <v>747</v>
      </c>
      <c r="AH36" s="46">
        <f t="shared" si="27"/>
        <v>0</v>
      </c>
      <c r="AJ36" s="609"/>
    </row>
    <row r="37" spans="1:36" ht="12.75">
      <c r="A37" s="32"/>
      <c r="B37" s="29"/>
      <c r="C37" s="18"/>
      <c r="D37" s="29"/>
      <c r="E37" s="610"/>
      <c r="F37" s="610"/>
      <c r="G37" s="610"/>
      <c r="H37" s="610"/>
      <c r="I37" s="610"/>
      <c r="J37" s="610"/>
      <c r="K37" s="610"/>
      <c r="L37" s="610"/>
      <c r="M37" s="610"/>
      <c r="N37" s="610"/>
      <c r="O37" s="610"/>
      <c r="P37" s="610"/>
      <c r="Q37" s="610"/>
      <c r="R37" s="610"/>
      <c r="S37" s="610"/>
      <c r="T37" s="610"/>
      <c r="U37" s="610"/>
      <c r="V37" s="610"/>
      <c r="W37" s="610"/>
      <c r="X37" s="610"/>
      <c r="Y37" s="610"/>
      <c r="Z37" s="610"/>
      <c r="AA37" s="610"/>
      <c r="AB37" s="610"/>
      <c r="AC37" s="610"/>
      <c r="AD37" s="610"/>
      <c r="AE37" s="610"/>
      <c r="AF37" s="610"/>
      <c r="AG37" s="610"/>
    </row>
    <row r="38" spans="1:36" ht="12.75">
      <c r="A38" s="20" t="s">
        <v>38</v>
      </c>
      <c r="B38" s="29"/>
      <c r="C38" s="18"/>
      <c r="D38" s="29"/>
      <c r="E38" s="34"/>
      <c r="F38" s="34"/>
      <c r="G38" s="18"/>
      <c r="H38" s="405"/>
      <c r="I38" s="405"/>
      <c r="J38" s="405"/>
      <c r="K38" s="405"/>
      <c r="L38" s="405"/>
      <c r="M38" s="405"/>
      <c r="N38" s="405"/>
      <c r="O38" s="405"/>
      <c r="P38" s="406"/>
      <c r="Q38" s="406"/>
      <c r="R38" s="406"/>
      <c r="S38" s="406"/>
      <c r="T38" s="406"/>
      <c r="U38" s="406"/>
      <c r="V38" s="406"/>
      <c r="W38" s="406"/>
      <c r="X38" s="406"/>
      <c r="Y38" s="406"/>
      <c r="Z38" s="406"/>
      <c r="AA38" s="406"/>
      <c r="AB38" s="406"/>
      <c r="AC38" s="406"/>
      <c r="AD38" s="406"/>
      <c r="AE38" s="406"/>
      <c r="AF38" s="406"/>
      <c r="AG38" s="406"/>
    </row>
    <row r="39" spans="1:36" ht="13.5">
      <c r="A39" s="32"/>
      <c r="B39" s="29"/>
      <c r="C39" s="18"/>
      <c r="D39" s="29"/>
      <c r="E39" s="19" t="s">
        <v>216</v>
      </c>
      <c r="F39" s="19" t="str">
        <f t="shared" ref="F39:P39" si="31">F6</f>
        <v>Q4</v>
      </c>
      <c r="G39" s="19" t="str">
        <f t="shared" si="31"/>
        <v>Q1</v>
      </c>
      <c r="H39" s="390" t="str">
        <f t="shared" si="31"/>
        <v>Q2</v>
      </c>
      <c r="I39" s="390" t="str">
        <f t="shared" si="31"/>
        <v>Q3</v>
      </c>
      <c r="J39" s="390" t="str">
        <f t="shared" si="31"/>
        <v>Q4</v>
      </c>
      <c r="K39" s="390" t="str">
        <f t="shared" si="31"/>
        <v>Q1</v>
      </c>
      <c r="L39" s="390" t="str">
        <f t="shared" si="31"/>
        <v>Q2</v>
      </c>
      <c r="M39" s="390" t="str">
        <f t="shared" si="31"/>
        <v>Q3</v>
      </c>
      <c r="N39" s="390" t="str">
        <f t="shared" si="31"/>
        <v>Q4</v>
      </c>
      <c r="O39" s="390" t="str">
        <f t="shared" si="31"/>
        <v>Q1</v>
      </c>
      <c r="P39" s="390" t="str">
        <f t="shared" si="31"/>
        <v>Q2</v>
      </c>
      <c r="Q39" s="390" t="str">
        <f t="shared" ref="Q39:R39" si="32">Q6</f>
        <v>Q3</v>
      </c>
      <c r="R39" s="390" t="str">
        <f t="shared" si="32"/>
        <v>Q4</v>
      </c>
      <c r="S39" s="390" t="str">
        <f t="shared" ref="S39:T39" si="33">S6</f>
        <v>Q1</v>
      </c>
      <c r="T39" s="390" t="str">
        <f t="shared" si="33"/>
        <v>Q2</v>
      </c>
      <c r="U39" s="390" t="str">
        <f t="shared" ref="U39:V39" si="34">U6</f>
        <v>Q3</v>
      </c>
      <c r="V39" s="390" t="str">
        <f t="shared" si="34"/>
        <v>Q4</v>
      </c>
      <c r="W39" s="390" t="str">
        <f t="shared" ref="W39:X39" si="35">W6</f>
        <v>Q1</v>
      </c>
      <c r="X39" s="390" t="str">
        <f t="shared" si="35"/>
        <v>Q2</v>
      </c>
      <c r="Y39" s="390" t="str">
        <f t="shared" ref="Y39:Z39" si="36">Y6</f>
        <v>Q3</v>
      </c>
      <c r="Z39" s="390" t="str">
        <f t="shared" si="36"/>
        <v>Q4</v>
      </c>
      <c r="AA39" s="390" t="str">
        <f t="shared" ref="AA39:AB39" si="37">AA6</f>
        <v>Q1</v>
      </c>
      <c r="AB39" s="390" t="str">
        <f t="shared" si="37"/>
        <v>Q2</v>
      </c>
      <c r="AC39" s="390" t="str">
        <f t="shared" ref="AC39:AD39" si="38">AC6</f>
        <v>Q3</v>
      </c>
      <c r="AD39" s="390" t="str">
        <f t="shared" si="38"/>
        <v>Q4</v>
      </c>
      <c r="AE39" s="390" t="str">
        <f t="shared" ref="AE39:AF39" si="39">AE6</f>
        <v>Q1</v>
      </c>
      <c r="AF39" s="390" t="str">
        <f t="shared" si="39"/>
        <v>Q2</v>
      </c>
      <c r="AG39" s="390" t="str">
        <f t="shared" ref="AG39" si="40">AG6</f>
        <v>Q3</v>
      </c>
    </row>
    <row r="40" spans="1:36" ht="12.75">
      <c r="A40" s="32"/>
      <c r="B40" s="29"/>
      <c r="C40" s="18"/>
      <c r="D40" s="29"/>
      <c r="E40" s="45" t="str">
        <f>E7</f>
        <v>CY08</v>
      </c>
      <c r="F40" s="45" t="str">
        <f t="shared" ref="F40:P40" si="41">F7</f>
        <v>CY08</v>
      </c>
      <c r="G40" s="45" t="str">
        <f t="shared" si="41"/>
        <v>CY09</v>
      </c>
      <c r="H40" s="391" t="str">
        <f t="shared" si="41"/>
        <v>CY09</v>
      </c>
      <c r="I40" s="391" t="str">
        <f t="shared" si="41"/>
        <v>CY09</v>
      </c>
      <c r="J40" s="391" t="str">
        <f t="shared" si="41"/>
        <v>CY09</v>
      </c>
      <c r="K40" s="391" t="str">
        <f t="shared" si="41"/>
        <v>CY10</v>
      </c>
      <c r="L40" s="391" t="str">
        <f t="shared" si="41"/>
        <v>CY10</v>
      </c>
      <c r="M40" s="391" t="str">
        <f t="shared" si="41"/>
        <v>CY10</v>
      </c>
      <c r="N40" s="391" t="str">
        <f t="shared" si="41"/>
        <v>CY10</v>
      </c>
      <c r="O40" s="391" t="str">
        <f t="shared" si="41"/>
        <v>CY11</v>
      </c>
      <c r="P40" s="391" t="str">
        <f t="shared" si="41"/>
        <v>CY11</v>
      </c>
      <c r="Q40" s="391" t="str">
        <f t="shared" ref="Q40:R40" si="42">Q7</f>
        <v>CY11</v>
      </c>
      <c r="R40" s="391" t="str">
        <f t="shared" si="42"/>
        <v>CY11</v>
      </c>
      <c r="S40" s="391" t="str">
        <f t="shared" ref="S40:T40" si="43">S7</f>
        <v>CY12</v>
      </c>
      <c r="T40" s="391" t="str">
        <f t="shared" si="43"/>
        <v>CY12</v>
      </c>
      <c r="U40" s="391" t="str">
        <f t="shared" ref="U40:V40" si="44">U7</f>
        <v>CY12</v>
      </c>
      <c r="V40" s="391" t="str">
        <f t="shared" si="44"/>
        <v>CY12</v>
      </c>
      <c r="W40" s="391" t="str">
        <f t="shared" ref="W40:X40" si="45">W7</f>
        <v>CY13</v>
      </c>
      <c r="X40" s="391" t="str">
        <f t="shared" si="45"/>
        <v>CY13</v>
      </c>
      <c r="Y40" s="391" t="str">
        <f t="shared" ref="Y40:Z40" si="46">Y7</f>
        <v>CY13</v>
      </c>
      <c r="Z40" s="391" t="str">
        <f t="shared" si="46"/>
        <v>CY13</v>
      </c>
      <c r="AA40" s="391" t="str">
        <f t="shared" ref="AA40:AB40" si="47">AA7</f>
        <v>CY14</v>
      </c>
      <c r="AB40" s="391" t="str">
        <f t="shared" si="47"/>
        <v>CY14</v>
      </c>
      <c r="AC40" s="391" t="str">
        <f t="shared" ref="AC40:AD40" si="48">AC7</f>
        <v>CY14</v>
      </c>
      <c r="AD40" s="391" t="str">
        <f t="shared" si="48"/>
        <v>CY14</v>
      </c>
      <c r="AE40" s="391" t="str">
        <f t="shared" ref="AE40:AF40" si="49">AE7</f>
        <v>CY15</v>
      </c>
      <c r="AF40" s="391" t="str">
        <f t="shared" si="49"/>
        <v>CY15</v>
      </c>
      <c r="AG40" s="391" t="str">
        <f t="shared" ref="AG40" si="50">AG7</f>
        <v>CY15</v>
      </c>
    </row>
    <row r="41" spans="1:36" ht="7.5" customHeight="1">
      <c r="A41" s="32"/>
      <c r="B41" s="29"/>
      <c r="C41" s="18"/>
      <c r="D41" s="29"/>
      <c r="E41" s="34"/>
      <c r="F41" s="34"/>
      <c r="G41" s="18"/>
      <c r="H41" s="405"/>
      <c r="I41" s="405"/>
      <c r="J41" s="405"/>
      <c r="K41" s="405"/>
      <c r="L41" s="405"/>
      <c r="M41" s="405"/>
      <c r="N41" s="405"/>
      <c r="O41" s="405"/>
      <c r="P41" s="407"/>
      <c r="Q41" s="407"/>
      <c r="R41" s="407"/>
      <c r="S41" s="407"/>
      <c r="T41" s="407"/>
      <c r="U41" s="407"/>
      <c r="V41" s="407"/>
      <c r="W41" s="407"/>
      <c r="X41" s="407"/>
      <c r="Y41" s="407"/>
      <c r="Z41" s="407"/>
      <c r="AA41" s="407"/>
      <c r="AB41" s="407"/>
      <c r="AC41" s="407"/>
      <c r="AD41" s="407"/>
      <c r="AE41" s="407"/>
      <c r="AF41" s="407"/>
      <c r="AG41" s="407"/>
    </row>
    <row r="42" spans="1:36" ht="16.5" customHeight="1">
      <c r="A42" s="32"/>
      <c r="B42" s="1" t="s">
        <v>203</v>
      </c>
      <c r="C42" s="18"/>
      <c r="D42" s="29"/>
      <c r="E42" s="34"/>
      <c r="F42" s="34"/>
      <c r="G42" s="18"/>
      <c r="H42" s="405"/>
      <c r="I42" s="405"/>
      <c r="J42" s="405"/>
      <c r="K42" s="405"/>
      <c r="L42" s="405"/>
      <c r="M42" s="405"/>
      <c r="N42" s="405"/>
      <c r="O42" s="405"/>
      <c r="P42" s="407"/>
      <c r="Q42" s="407"/>
      <c r="R42" s="407"/>
      <c r="S42" s="407"/>
      <c r="T42" s="407"/>
      <c r="U42" s="407"/>
      <c r="V42" s="407"/>
      <c r="W42" s="407"/>
      <c r="X42" s="407"/>
      <c r="Y42" s="407"/>
      <c r="Z42" s="407"/>
      <c r="AA42" s="407"/>
      <c r="AB42" s="407"/>
      <c r="AC42" s="407"/>
      <c r="AD42" s="407"/>
      <c r="AE42" s="407"/>
      <c r="AF42" s="407"/>
      <c r="AG42" s="407"/>
    </row>
    <row r="43" spans="1:36" s="48" customFormat="1" ht="12.75">
      <c r="A43" s="10"/>
      <c r="C43" s="2" t="s">
        <v>214</v>
      </c>
      <c r="D43" s="10"/>
      <c r="E43" s="39">
        <f>E11/E$9</f>
        <v>0.39240506329113922</v>
      </c>
      <c r="F43" s="39">
        <f t="shared" ref="F43:O43" si="51">F11/F$9</f>
        <v>0.49115314215985356</v>
      </c>
      <c r="G43" s="39">
        <f t="shared" si="51"/>
        <v>0.30173292558613657</v>
      </c>
      <c r="H43" s="408">
        <f t="shared" si="51"/>
        <v>0.27071290944123316</v>
      </c>
      <c r="I43" s="408">
        <f t="shared" si="51"/>
        <v>0.26315789473684209</v>
      </c>
      <c r="J43" s="408">
        <f t="shared" si="51"/>
        <v>0.43031470777135516</v>
      </c>
      <c r="K43" s="408">
        <f t="shared" si="51"/>
        <v>0.25764525993883791</v>
      </c>
      <c r="L43" s="408">
        <f t="shared" si="51"/>
        <v>0.24301964839710444</v>
      </c>
      <c r="M43" s="408">
        <f t="shared" si="51"/>
        <v>0.26040268456375837</v>
      </c>
      <c r="N43" s="408">
        <f t="shared" si="51"/>
        <v>0.40995094604064469</v>
      </c>
      <c r="O43" s="408">
        <f t="shared" si="51"/>
        <v>0.20634920634920634</v>
      </c>
      <c r="P43" s="408">
        <f>P11/P$9</f>
        <v>0.18586387434554974</v>
      </c>
      <c r="Q43" s="408">
        <f t="shared" ref="Q43" si="52">Q11/Q$9</f>
        <v>0.1830238726790451</v>
      </c>
      <c r="R43" s="408">
        <f t="shared" ref="R43:V52" si="53">R11/R$9</f>
        <v>0.34328358208955223</v>
      </c>
      <c r="S43" s="408">
        <f t="shared" si="53"/>
        <v>0.21928327645051193</v>
      </c>
      <c r="T43" s="408">
        <f t="shared" si="53"/>
        <v>0.21302325581395348</v>
      </c>
      <c r="U43" s="408">
        <f t="shared" si="53"/>
        <v>0.17360285374554102</v>
      </c>
      <c r="V43" s="408">
        <f t="shared" si="53"/>
        <v>0.27319004524886875</v>
      </c>
      <c r="W43" s="408">
        <f t="shared" ref="W43" si="54">W11/W$9</f>
        <v>0.19637462235649547</v>
      </c>
      <c r="X43" s="408">
        <f t="shared" ref="X43:AC43" si="55">X11/X$9</f>
        <v>0.17047619047619048</v>
      </c>
      <c r="Y43" s="408">
        <f t="shared" si="55"/>
        <v>0.16063675832127353</v>
      </c>
      <c r="Z43" s="408">
        <f t="shared" si="55"/>
        <v>0.33069828722002637</v>
      </c>
      <c r="AA43" s="408">
        <f t="shared" si="55"/>
        <v>0.20252025202520252</v>
      </c>
      <c r="AB43" s="408">
        <f t="shared" si="55"/>
        <v>0.19278350515463918</v>
      </c>
      <c r="AC43" s="408">
        <f t="shared" si="55"/>
        <v>0.20717131474103587</v>
      </c>
      <c r="AD43" s="408">
        <f t="shared" ref="AD43" si="56">AD11/AD$9</f>
        <v>0.2742857142857143</v>
      </c>
      <c r="AE43" s="408">
        <f>AE11/AE$9</f>
        <v>0.16353677621283255</v>
      </c>
      <c r="AF43" s="408">
        <f>AF11/AF$9</f>
        <v>0.14942528735632185</v>
      </c>
      <c r="AG43" s="408">
        <f>AG11/AG$9</f>
        <v>0.19696969696969696</v>
      </c>
    </row>
    <row r="44" spans="1:36" s="48" customFormat="1" ht="12.75">
      <c r="A44" s="10"/>
      <c r="C44" s="2" t="s">
        <v>313</v>
      </c>
      <c r="D44" s="10"/>
      <c r="E44" s="39">
        <f t="shared" ref="E44:O44" si="57">E12/E$9</f>
        <v>6.0478199718706049E-2</v>
      </c>
      <c r="F44" s="39">
        <f t="shared" si="57"/>
        <v>3.2336790726052472E-2</v>
      </c>
      <c r="G44" s="39">
        <f t="shared" si="57"/>
        <v>5.3007135575942915E-2</v>
      </c>
      <c r="H44" s="408">
        <f t="shared" si="57"/>
        <v>4.9132947976878616E-2</v>
      </c>
      <c r="I44" s="408">
        <f t="shared" si="57"/>
        <v>7.8236130867709822E-2</v>
      </c>
      <c r="J44" s="408">
        <f t="shared" si="57"/>
        <v>3.4682080924855488E-2</v>
      </c>
      <c r="K44" s="408">
        <f t="shared" si="57"/>
        <v>4.4342507645259939E-2</v>
      </c>
      <c r="L44" s="408">
        <f t="shared" si="57"/>
        <v>5.6876938986556359E-2</v>
      </c>
      <c r="M44" s="408">
        <f t="shared" si="57"/>
        <v>8.5906040268456371E-2</v>
      </c>
      <c r="N44" s="408">
        <f t="shared" si="57"/>
        <v>5.3258584442887176E-2</v>
      </c>
      <c r="O44" s="408">
        <f t="shared" si="57"/>
        <v>4.5548654244306416E-2</v>
      </c>
      <c r="P44" s="408">
        <f>P12/P$9</f>
        <v>5.4101221640488653E-2</v>
      </c>
      <c r="Q44" s="408">
        <f t="shared" ref="Q44:Q57" si="58">Q12/Q$9</f>
        <v>8.3554376657824933E-2</v>
      </c>
      <c r="R44" s="408">
        <f t="shared" si="53"/>
        <v>4.6197583511016348E-2</v>
      </c>
      <c r="S44" s="408">
        <f t="shared" si="53"/>
        <v>5.8873720136518773E-2</v>
      </c>
      <c r="T44" s="408">
        <f t="shared" si="53"/>
        <v>6.6046511627906979E-2</v>
      </c>
      <c r="U44" s="408">
        <f t="shared" si="53"/>
        <v>7.3721759809750292E-2</v>
      </c>
      <c r="V44" s="408">
        <f t="shared" si="53"/>
        <v>3.3936651583710405E-2</v>
      </c>
      <c r="W44" s="408">
        <f t="shared" ref="W44:X44" si="59">W12/W$9</f>
        <v>4.3051359516616317E-2</v>
      </c>
      <c r="X44" s="408">
        <f t="shared" si="59"/>
        <v>5.1428571428571428E-2</v>
      </c>
      <c r="Y44" s="408">
        <f t="shared" ref="Y44:Z44" si="60">Y12/Y$9</f>
        <v>6.2228654124457307E-2</v>
      </c>
      <c r="Z44" s="408">
        <f t="shared" si="60"/>
        <v>3.2938076416337288E-2</v>
      </c>
      <c r="AA44" s="408">
        <f t="shared" ref="AA44:AB44" si="61">AA12/AA$9</f>
        <v>5.2205220522052204E-2</v>
      </c>
      <c r="AB44" s="408">
        <f t="shared" si="61"/>
        <v>5.7731958762886601E-2</v>
      </c>
      <c r="AC44" s="408">
        <f t="shared" ref="AC44:AD44" si="62">AC12/AC$9</f>
        <v>7.4369189907038516E-2</v>
      </c>
      <c r="AD44" s="408">
        <f t="shared" si="62"/>
        <v>3.8730158730158733E-2</v>
      </c>
      <c r="AE44" s="408">
        <f t="shared" ref="AE44" si="63">AE12/AE$9</f>
        <v>4.1471048513302036E-2</v>
      </c>
      <c r="AF44" s="408">
        <f t="shared" ref="AF44:AG57" si="64">AF12/AF$9</f>
        <v>5.0766283524904213E-2</v>
      </c>
      <c r="AG44" s="408">
        <f t="shared" si="64"/>
        <v>5.6565656565656569E-2</v>
      </c>
    </row>
    <row r="45" spans="1:36" s="48" customFormat="1" ht="12.75">
      <c r="A45" s="10"/>
      <c r="C45" s="2" t="s">
        <v>212</v>
      </c>
      <c r="D45" s="10"/>
      <c r="E45" s="39">
        <f t="shared" ref="E45:O45" si="65">E13/E$9</f>
        <v>7.0323488045007029E-2</v>
      </c>
      <c r="F45" s="39">
        <f t="shared" si="65"/>
        <v>0.10921293471629043</v>
      </c>
      <c r="G45" s="39">
        <f t="shared" si="65"/>
        <v>7.3394495412844041E-2</v>
      </c>
      <c r="H45" s="408">
        <f t="shared" si="65"/>
        <v>8.2851637764932567E-2</v>
      </c>
      <c r="I45" s="408">
        <f t="shared" si="65"/>
        <v>7.6813655761024183E-2</v>
      </c>
      <c r="J45" s="408">
        <f t="shared" si="65"/>
        <v>8.7347463070006418E-2</v>
      </c>
      <c r="K45" s="408">
        <f t="shared" si="65"/>
        <v>7.5688073394495417E-2</v>
      </c>
      <c r="L45" s="408">
        <f t="shared" si="65"/>
        <v>5.2740434332988625E-2</v>
      </c>
      <c r="M45" s="408">
        <f t="shared" si="65"/>
        <v>8.1879194630872482E-2</v>
      </c>
      <c r="N45" s="408">
        <f t="shared" si="65"/>
        <v>8.9698668535388923E-2</v>
      </c>
      <c r="O45" s="408">
        <f t="shared" si="65"/>
        <v>4.2097998619737752E-2</v>
      </c>
      <c r="P45" s="408">
        <f>P13/P$9</f>
        <v>4.1012216404886559E-2</v>
      </c>
      <c r="Q45" s="408">
        <f t="shared" si="58"/>
        <v>3.1830238726790451E-2</v>
      </c>
      <c r="R45" s="408">
        <f t="shared" si="53"/>
        <v>6.041222459132907E-2</v>
      </c>
      <c r="S45" s="408">
        <f t="shared" si="53"/>
        <v>2.6450511945392493E-2</v>
      </c>
      <c r="T45" s="408">
        <f t="shared" si="53"/>
        <v>5.3023255813953486E-2</v>
      </c>
      <c r="U45" s="408">
        <f t="shared" si="53"/>
        <v>2.2592152199762187E-2</v>
      </c>
      <c r="V45" s="408">
        <f t="shared" si="53"/>
        <v>4.9208144796380089E-2</v>
      </c>
      <c r="W45" s="408">
        <f t="shared" ref="W45:X45" si="66">W13/W$9</f>
        <v>4.6072507552870089E-2</v>
      </c>
      <c r="X45" s="408">
        <f t="shared" si="66"/>
        <v>3.619047619047619E-2</v>
      </c>
      <c r="Y45" s="408">
        <f t="shared" ref="Y45:Z45" si="67">Y13/Y$9</f>
        <v>2.3154848046309694E-2</v>
      </c>
      <c r="Z45" s="408">
        <f t="shared" si="67"/>
        <v>4.7430830039525688E-2</v>
      </c>
      <c r="AA45" s="408">
        <f t="shared" ref="AA45:AB45" si="68">AA13/AA$9</f>
        <v>5.1305130513051307E-2</v>
      </c>
      <c r="AB45" s="408">
        <f t="shared" si="68"/>
        <v>4.7422680412371132E-2</v>
      </c>
      <c r="AC45" s="408">
        <f t="shared" ref="AC45:AD45" si="69">AC13/AC$9</f>
        <v>4.5152722443559098E-2</v>
      </c>
      <c r="AD45" s="408">
        <f t="shared" si="69"/>
        <v>7.8730158730158734E-2</v>
      </c>
      <c r="AE45" s="408">
        <f t="shared" ref="AE45" si="70">AE13/AE$9</f>
        <v>0.11580594679186229</v>
      </c>
      <c r="AF45" s="408">
        <f t="shared" si="64"/>
        <v>8.141762452107279E-2</v>
      </c>
      <c r="AG45" s="408">
        <f t="shared" si="64"/>
        <v>8.1818181818181818E-2</v>
      </c>
    </row>
    <row r="46" spans="1:36" s="48" customFormat="1" ht="12.75">
      <c r="A46" s="10"/>
      <c r="C46" s="2" t="s">
        <v>213</v>
      </c>
      <c r="D46" s="10"/>
      <c r="E46" s="39">
        <f t="shared" ref="E46:O46" si="71">E14/E$9</f>
        <v>5.0632911392405063E-2</v>
      </c>
      <c r="F46" s="39">
        <f t="shared" si="71"/>
        <v>0.10616229408175717</v>
      </c>
      <c r="G46" s="39">
        <f t="shared" si="71"/>
        <v>6.5239551478083593E-2</v>
      </c>
      <c r="H46" s="408">
        <f t="shared" si="71"/>
        <v>5.2023121387283239E-2</v>
      </c>
      <c r="I46" s="408">
        <f t="shared" si="71"/>
        <v>6.4011379800853488E-2</v>
      </c>
      <c r="J46" s="408">
        <f t="shared" si="71"/>
        <v>9.7623635195889527E-2</v>
      </c>
      <c r="K46" s="408">
        <f t="shared" si="71"/>
        <v>3.2874617737003058E-2</v>
      </c>
      <c r="L46" s="408">
        <f t="shared" si="71"/>
        <v>2.9989658738366079E-2</v>
      </c>
      <c r="M46" s="408">
        <f t="shared" si="71"/>
        <v>4.429530201342282E-2</v>
      </c>
      <c r="N46" s="408">
        <f t="shared" si="71"/>
        <v>6.4470918009810793E-2</v>
      </c>
      <c r="O46" s="408">
        <f t="shared" si="71"/>
        <v>2.0013802622498276E-2</v>
      </c>
      <c r="P46" s="408">
        <f>P14/P$9</f>
        <v>2.0942408376963352E-2</v>
      </c>
      <c r="Q46" s="408">
        <f t="shared" si="58"/>
        <v>2.1220159151193633E-2</v>
      </c>
      <c r="R46" s="408">
        <f t="shared" si="53"/>
        <v>6.8230277185501065E-2</v>
      </c>
      <c r="S46" s="408">
        <f t="shared" si="53"/>
        <v>5.9726962457337888E-3</v>
      </c>
      <c r="T46" s="408">
        <f t="shared" si="53"/>
        <v>1.8604651162790697E-2</v>
      </c>
      <c r="U46" s="408">
        <f t="shared" si="53"/>
        <v>1.1890606420927468E-2</v>
      </c>
      <c r="V46" s="408">
        <f t="shared" si="53"/>
        <v>2.9411764705882353E-2</v>
      </c>
      <c r="W46" s="408">
        <f t="shared" ref="W46:X46" si="72">W14/W$9</f>
        <v>2.8700906344410877E-2</v>
      </c>
      <c r="X46" s="408">
        <f t="shared" si="72"/>
        <v>1.3333333333333334E-2</v>
      </c>
      <c r="Y46" s="408">
        <f t="shared" ref="Y46:Z46" si="73">Y14/Y$9</f>
        <v>7.2358900144717797E-3</v>
      </c>
      <c r="Z46" s="408">
        <f t="shared" si="73"/>
        <v>2.0421607378129116E-2</v>
      </c>
      <c r="AA46" s="408">
        <f t="shared" ref="AA46:AB46" si="74">AA14/AA$9</f>
        <v>1.8001800180018001E-3</v>
      </c>
      <c r="AB46" s="408">
        <f t="shared" si="74"/>
        <v>1.134020618556701E-2</v>
      </c>
      <c r="AC46" s="408">
        <f t="shared" ref="AC46:AD46" si="75">AC14/AC$9</f>
        <v>9.2961487383798145E-3</v>
      </c>
      <c r="AD46" s="408">
        <f t="shared" si="75"/>
        <v>8.8888888888888889E-3</v>
      </c>
      <c r="AE46" s="408">
        <f t="shared" ref="AE46" si="76">AE14/AE$9</f>
        <v>2.3474178403755869E-3</v>
      </c>
      <c r="AF46" s="408">
        <f t="shared" si="64"/>
        <v>2.8735632183908046E-3</v>
      </c>
      <c r="AG46" s="408">
        <f t="shared" si="64"/>
        <v>5.0505050505050509E-3</v>
      </c>
    </row>
    <row r="47" spans="1:36" ht="12.75">
      <c r="A47" s="10"/>
      <c r="B47" s="10"/>
      <c r="C47" s="6" t="s">
        <v>47</v>
      </c>
      <c r="D47" s="10"/>
      <c r="E47" s="39">
        <f t="shared" ref="E47:E56" si="77">E15/E$9</f>
        <v>0.28129395218002812</v>
      </c>
      <c r="F47" s="39">
        <f t="shared" ref="F47:O47" si="78">F15/F$9</f>
        <v>0.11958511287370348</v>
      </c>
      <c r="G47" s="39">
        <f t="shared" si="78"/>
        <v>0.11926605504587157</v>
      </c>
      <c r="H47" s="408">
        <f t="shared" si="78"/>
        <v>0.11849710982658959</v>
      </c>
      <c r="I47" s="408">
        <f t="shared" si="78"/>
        <v>0.17354196301564723</v>
      </c>
      <c r="J47" s="408">
        <f t="shared" si="78"/>
        <v>0.170199100834939</v>
      </c>
      <c r="K47" s="408">
        <f t="shared" si="78"/>
        <v>0.10244648318042814</v>
      </c>
      <c r="L47" s="408">
        <f t="shared" si="78"/>
        <v>0.10031023784901758</v>
      </c>
      <c r="M47" s="408">
        <f t="shared" si="78"/>
        <v>0.15436241610738255</v>
      </c>
      <c r="N47" s="408">
        <f t="shared" si="78"/>
        <v>0.18920812894183603</v>
      </c>
      <c r="O47" s="408">
        <f t="shared" si="78"/>
        <v>9.5928226363008975E-2</v>
      </c>
      <c r="P47" s="408">
        <f t="shared" ref="P47" si="79">P15/P$9</f>
        <v>9.8603839441535779E-2</v>
      </c>
      <c r="Q47" s="408">
        <f t="shared" si="58"/>
        <v>0.17108753315649866</v>
      </c>
      <c r="R47" s="408">
        <f t="shared" si="53"/>
        <v>0.17697228144989338</v>
      </c>
      <c r="S47" s="408">
        <f t="shared" si="53"/>
        <v>9.7269624573378843E-2</v>
      </c>
      <c r="T47" s="408">
        <f t="shared" si="53"/>
        <v>0.13488372093023257</v>
      </c>
      <c r="U47" s="408">
        <f t="shared" si="53"/>
        <v>0.14863258026159334</v>
      </c>
      <c r="V47" s="408">
        <f t="shared" si="53"/>
        <v>0.1255656108597285</v>
      </c>
      <c r="W47" s="408">
        <f t="shared" ref="W47:X47" si="80">W15/W$9</f>
        <v>9.4410876132930519E-2</v>
      </c>
      <c r="X47" s="408">
        <f t="shared" si="80"/>
        <v>0.11714285714285715</v>
      </c>
      <c r="Y47" s="408">
        <f t="shared" ref="Y47:Z47" si="81">Y15/Y$9</f>
        <v>0.20260492040520983</v>
      </c>
      <c r="Z47" s="408">
        <f t="shared" si="81"/>
        <v>0.1297760210803689</v>
      </c>
      <c r="AA47" s="408">
        <f t="shared" ref="AA47:AB47" si="82">AA15/AA$9</f>
        <v>0.12871287128712872</v>
      </c>
      <c r="AB47" s="408">
        <f t="shared" si="82"/>
        <v>0.1154639175257732</v>
      </c>
      <c r="AC47" s="408">
        <f t="shared" ref="AC47:AD47" si="83">AC15/AC$9</f>
        <v>0.17397078353253653</v>
      </c>
      <c r="AD47" s="408">
        <f t="shared" si="83"/>
        <v>0.11682539682539683</v>
      </c>
      <c r="AE47" s="408">
        <f t="shared" ref="AE47" si="84">AE15/AE$9</f>
        <v>0.1134585289514867</v>
      </c>
      <c r="AF47" s="408">
        <f t="shared" si="64"/>
        <v>0.14272030651340997</v>
      </c>
      <c r="AG47" s="408">
        <f t="shared" si="64"/>
        <v>0.16060606060606061</v>
      </c>
    </row>
    <row r="48" spans="1:36" ht="12.75">
      <c r="A48" s="10"/>
      <c r="B48" s="10"/>
      <c r="C48" s="6" t="s">
        <v>48</v>
      </c>
      <c r="D48" s="10"/>
      <c r="E48" s="39">
        <f t="shared" si="77"/>
        <v>0.19971870604781997</v>
      </c>
      <c r="F48" s="39">
        <f t="shared" ref="F48:O48" si="85">F16/F$9</f>
        <v>0.14887126296522268</v>
      </c>
      <c r="G48" s="39">
        <f t="shared" si="85"/>
        <v>8.4607543323139647E-2</v>
      </c>
      <c r="H48" s="408">
        <f t="shared" si="85"/>
        <v>0.11368015414258188</v>
      </c>
      <c r="I48" s="408">
        <f t="shared" si="85"/>
        <v>0.18207681365576103</v>
      </c>
      <c r="J48" s="408">
        <f t="shared" si="85"/>
        <v>0.13808606294155426</v>
      </c>
      <c r="K48" s="408">
        <f t="shared" si="85"/>
        <v>4.2813455657492352E-2</v>
      </c>
      <c r="L48" s="408">
        <f t="shared" si="85"/>
        <v>0.12926577042399173</v>
      </c>
      <c r="M48" s="408">
        <f t="shared" si="85"/>
        <v>0.1476510067114094</v>
      </c>
      <c r="N48" s="408">
        <f t="shared" si="85"/>
        <v>0.15767344078486334</v>
      </c>
      <c r="O48" s="408">
        <f t="shared" si="85"/>
        <v>4.1407867494824016E-2</v>
      </c>
      <c r="P48" s="408">
        <f t="shared" ref="P48" si="86">P16/P$9</f>
        <v>7.8534031413612565E-2</v>
      </c>
      <c r="Q48" s="408">
        <f t="shared" si="58"/>
        <v>0.15251989389920426</v>
      </c>
      <c r="R48" s="408">
        <f t="shared" si="53"/>
        <v>0.19971570717839374</v>
      </c>
      <c r="S48" s="408">
        <f t="shared" si="53"/>
        <v>6.7406143344709901E-2</v>
      </c>
      <c r="T48" s="408">
        <f t="shared" si="53"/>
        <v>0.12651162790697673</v>
      </c>
      <c r="U48" s="408">
        <f t="shared" si="53"/>
        <v>0.15576694411414982</v>
      </c>
      <c r="V48" s="408">
        <f t="shared" si="53"/>
        <v>0.13122171945701358</v>
      </c>
      <c r="W48" s="408">
        <f t="shared" ref="W48:X48" si="87">W16/W$9</f>
        <v>8.0815709969788513E-2</v>
      </c>
      <c r="X48" s="408">
        <f t="shared" si="87"/>
        <v>0.11047619047619048</v>
      </c>
      <c r="Y48" s="408">
        <f t="shared" ref="Y48:Z48" si="88">Y16/Y$9</f>
        <v>0.20839363241678727</v>
      </c>
      <c r="Z48" s="408">
        <f t="shared" si="88"/>
        <v>0.15744400527009222</v>
      </c>
      <c r="AA48" s="408">
        <f t="shared" ref="AA48:AB48" si="89">AA16/AA$9</f>
        <v>9.3609360936093608E-2</v>
      </c>
      <c r="AB48" s="408">
        <f t="shared" si="89"/>
        <v>0.14536082474226805</v>
      </c>
      <c r="AC48" s="408">
        <f t="shared" ref="AC48:AD48" si="90">AC16/AC$9</f>
        <v>0.29349269588313415</v>
      </c>
      <c r="AD48" s="408">
        <f t="shared" si="90"/>
        <v>0.15682539682539681</v>
      </c>
      <c r="AE48" s="408">
        <f t="shared" ref="AE48" si="91">AE16/AE$9</f>
        <v>7.1987480438184662E-2</v>
      </c>
      <c r="AF48" s="408">
        <f t="shared" si="64"/>
        <v>0.15708812260536398</v>
      </c>
      <c r="AG48" s="408">
        <f t="shared" si="64"/>
        <v>0.19090909090909092</v>
      </c>
    </row>
    <row r="49" spans="1:33" ht="12.75">
      <c r="A49" s="10"/>
      <c r="B49" s="10"/>
      <c r="C49" s="6" t="s">
        <v>49</v>
      </c>
      <c r="D49" s="10"/>
      <c r="E49" s="39">
        <f t="shared" si="77"/>
        <v>0.13220815752461323</v>
      </c>
      <c r="F49" s="39">
        <f t="shared" ref="F49:O49" si="92">F17/F$9</f>
        <v>6.3453325198291638E-2</v>
      </c>
      <c r="G49" s="39">
        <f t="shared" si="92"/>
        <v>0.10499490316004077</v>
      </c>
      <c r="H49" s="408">
        <f t="shared" si="92"/>
        <v>8.8631984585741813E-2</v>
      </c>
      <c r="I49" s="408">
        <f t="shared" si="92"/>
        <v>0.15078236130867709</v>
      </c>
      <c r="J49" s="408">
        <f t="shared" si="92"/>
        <v>6.0372511239563262E-2</v>
      </c>
      <c r="K49" s="408">
        <f t="shared" si="92"/>
        <v>5.3516819571865444E-2</v>
      </c>
      <c r="L49" s="408">
        <f t="shared" si="92"/>
        <v>7.7559462254395042E-2</v>
      </c>
      <c r="M49" s="408">
        <f t="shared" si="92"/>
        <v>0.15167785234899328</v>
      </c>
      <c r="N49" s="408">
        <f t="shared" si="92"/>
        <v>8.5494043447792573E-2</v>
      </c>
      <c r="O49" s="408">
        <f t="shared" si="92"/>
        <v>7.0393374741200831E-2</v>
      </c>
      <c r="P49" s="408">
        <f t="shared" ref="P49" si="93">P17/P$9</f>
        <v>0.11082024432809773</v>
      </c>
      <c r="Q49" s="408">
        <f t="shared" si="58"/>
        <v>0.13793103448275862</v>
      </c>
      <c r="R49" s="408">
        <f t="shared" si="53"/>
        <v>8.6709310589907607E-2</v>
      </c>
      <c r="S49" s="408">
        <f t="shared" si="53"/>
        <v>8.7030716723549492E-2</v>
      </c>
      <c r="T49" s="408">
        <f t="shared" si="53"/>
        <v>0.17674418604651163</v>
      </c>
      <c r="U49" s="408">
        <f t="shared" si="53"/>
        <v>0.14387633769322236</v>
      </c>
      <c r="V49" s="408">
        <f t="shared" si="53"/>
        <v>8.3710407239818999E-2</v>
      </c>
      <c r="W49" s="408">
        <f t="shared" ref="W49:X49" si="94">W17/W$9</f>
        <v>6.7220543806646521E-2</v>
      </c>
      <c r="X49" s="408">
        <f t="shared" si="94"/>
        <v>9.1428571428571428E-2</v>
      </c>
      <c r="Y49" s="408">
        <f t="shared" ref="Y49:Z49" si="95">Y17/Y$9</f>
        <v>0.23444283646888567</v>
      </c>
      <c r="Z49" s="408">
        <f t="shared" si="95"/>
        <v>9.420289855072464E-2</v>
      </c>
      <c r="AA49" s="408">
        <f t="shared" ref="AA49:AB49" si="96">AA17/AA$9</f>
        <v>8.5508550855085505E-2</v>
      </c>
      <c r="AB49" s="408">
        <f t="shared" si="96"/>
        <v>0.11030927835051546</v>
      </c>
      <c r="AC49" s="408">
        <f t="shared" ref="AC49:AD49" si="97">AC17/AC$9</f>
        <v>0.18592297476759628</v>
      </c>
      <c r="AD49" s="408">
        <f t="shared" si="97"/>
        <v>4.7619047619047616E-2</v>
      </c>
      <c r="AE49" s="408">
        <f t="shared" ref="AE49" si="98">AE17/AE$9</f>
        <v>6.729264475743349E-2</v>
      </c>
      <c r="AF49" s="408">
        <f t="shared" si="64"/>
        <v>9.7701149425287362E-2</v>
      </c>
      <c r="AG49" s="408">
        <f t="shared" si="64"/>
        <v>0.1101010101010101</v>
      </c>
    </row>
    <row r="50" spans="1:33" ht="12.75">
      <c r="A50" s="10"/>
      <c r="B50" s="10"/>
      <c r="C50" s="6" t="s">
        <v>50</v>
      </c>
      <c r="D50" s="10"/>
      <c r="E50" s="39">
        <f t="shared" si="77"/>
        <v>8.5794655414908577E-2</v>
      </c>
      <c r="F50" s="42">
        <f t="shared" ref="F50:O50" si="99">F18/F$9</f>
        <v>1.9524100061012812E-2</v>
      </c>
      <c r="G50" s="39">
        <f t="shared" si="99"/>
        <v>1.5290519877675841E-2</v>
      </c>
      <c r="H50" s="409">
        <f t="shared" si="99"/>
        <v>1.4450867052023121E-2</v>
      </c>
      <c r="I50" s="409">
        <f t="shared" si="99"/>
        <v>-1.4224751066856331E-3</v>
      </c>
      <c r="J50" s="409">
        <f t="shared" si="99"/>
        <v>-3.8535645472061657E-3</v>
      </c>
      <c r="K50" s="409">
        <f t="shared" si="99"/>
        <v>0</v>
      </c>
      <c r="L50" s="409">
        <f t="shared" si="99"/>
        <v>0</v>
      </c>
      <c r="M50" s="409">
        <f t="shared" si="99"/>
        <v>0</v>
      </c>
      <c r="N50" s="409">
        <f t="shared" si="99"/>
        <v>0</v>
      </c>
      <c r="O50" s="409">
        <f t="shared" si="99"/>
        <v>1.3112491373360938E-2</v>
      </c>
      <c r="P50" s="409">
        <f t="shared" ref="P50" si="100">P18/P$9</f>
        <v>2.617801047120419E-3</v>
      </c>
      <c r="Q50" s="409">
        <f t="shared" si="58"/>
        <v>3.9787798408488064E-3</v>
      </c>
      <c r="R50" s="409">
        <f t="shared" si="53"/>
        <v>7.1073205401563609E-4</v>
      </c>
      <c r="S50" s="409">
        <f t="shared" si="53"/>
        <v>0</v>
      </c>
      <c r="T50" s="409">
        <f t="shared" si="53"/>
        <v>0</v>
      </c>
      <c r="U50" s="409">
        <f t="shared" si="53"/>
        <v>0</v>
      </c>
      <c r="V50" s="408">
        <f t="shared" si="53"/>
        <v>0</v>
      </c>
      <c r="W50" s="408">
        <f t="shared" ref="W50:X50" si="101">W18/W$9</f>
        <v>0</v>
      </c>
      <c r="X50" s="408">
        <f t="shared" si="101"/>
        <v>0</v>
      </c>
      <c r="Y50" s="408">
        <f t="shared" ref="Y50:Z50" si="102">Y18/Y$9</f>
        <v>0</v>
      </c>
      <c r="Z50" s="408">
        <f t="shared" si="102"/>
        <v>0</v>
      </c>
      <c r="AA50" s="408">
        <f t="shared" ref="AA50:AB50" si="103">AA18/AA$9</f>
        <v>0</v>
      </c>
      <c r="AB50" s="408">
        <f t="shared" si="103"/>
        <v>0</v>
      </c>
      <c r="AC50" s="408">
        <f t="shared" ref="AC50:AD50" si="104">AC18/AC$9</f>
        <v>0</v>
      </c>
      <c r="AD50" s="408">
        <f t="shared" si="104"/>
        <v>0</v>
      </c>
      <c r="AE50" s="408">
        <f t="shared" ref="AE50" si="105">AE18/AE$9</f>
        <v>0</v>
      </c>
      <c r="AF50" s="408">
        <f t="shared" si="64"/>
        <v>0</v>
      </c>
      <c r="AG50" s="408">
        <f t="shared" si="64"/>
        <v>0</v>
      </c>
    </row>
    <row r="51" spans="1:33">
      <c r="A51" s="10"/>
      <c r="B51" s="10"/>
      <c r="C51" s="6" t="s">
        <v>51</v>
      </c>
      <c r="D51" s="10"/>
      <c r="E51" s="40">
        <f t="shared" si="77"/>
        <v>0</v>
      </c>
      <c r="F51" s="40">
        <f t="shared" ref="F51:O51" si="106">F19/F$9</f>
        <v>0</v>
      </c>
      <c r="G51" s="40">
        <f t="shared" si="106"/>
        <v>0</v>
      </c>
      <c r="H51" s="410">
        <f t="shared" si="106"/>
        <v>0</v>
      </c>
      <c r="I51" s="410">
        <f t="shared" si="106"/>
        <v>0</v>
      </c>
      <c r="J51" s="410">
        <f t="shared" si="106"/>
        <v>0.26268464996788699</v>
      </c>
      <c r="K51" s="410">
        <f t="shared" si="106"/>
        <v>0</v>
      </c>
      <c r="L51" s="410">
        <f t="shared" si="106"/>
        <v>0</v>
      </c>
      <c r="M51" s="410">
        <f t="shared" si="106"/>
        <v>0</v>
      </c>
      <c r="N51" s="410">
        <f t="shared" si="106"/>
        <v>0.22845129642606868</v>
      </c>
      <c r="O51" s="410">
        <f t="shared" si="106"/>
        <v>0</v>
      </c>
      <c r="P51" s="410">
        <f t="shared" ref="P51" si="107">P19/P$9</f>
        <v>0</v>
      </c>
      <c r="Q51" s="410">
        <f t="shared" si="58"/>
        <v>0</v>
      </c>
      <c r="R51" s="410">
        <f t="shared" si="53"/>
        <v>0</v>
      </c>
      <c r="S51" s="410">
        <f t="shared" si="53"/>
        <v>0</v>
      </c>
      <c r="T51" s="410">
        <f t="shared" si="53"/>
        <v>0</v>
      </c>
      <c r="U51" s="410">
        <f t="shared" si="53"/>
        <v>0</v>
      </c>
      <c r="V51" s="410">
        <f t="shared" si="53"/>
        <v>0</v>
      </c>
      <c r="W51" s="410">
        <f t="shared" ref="W51:X51" si="108">W19/W$9</f>
        <v>0</v>
      </c>
      <c r="X51" s="410">
        <f t="shared" si="108"/>
        <v>0</v>
      </c>
      <c r="Y51" s="410">
        <f t="shared" ref="Y51:Z51" si="109">Y19/Y$9</f>
        <v>0</v>
      </c>
      <c r="Z51" s="410">
        <f t="shared" si="109"/>
        <v>0</v>
      </c>
      <c r="AA51" s="410">
        <f t="shared" ref="AA51:AB51" si="110">AA19/AA$9</f>
        <v>0</v>
      </c>
      <c r="AB51" s="410">
        <f t="shared" si="110"/>
        <v>0</v>
      </c>
      <c r="AC51" s="410">
        <f t="shared" ref="AC51:AD51" si="111">AC19/AC$9</f>
        <v>0</v>
      </c>
      <c r="AD51" s="410">
        <f t="shared" si="111"/>
        <v>0</v>
      </c>
      <c r="AE51" s="410">
        <f t="shared" ref="AE51" si="112">AE19/AE$9</f>
        <v>0</v>
      </c>
      <c r="AF51" s="410">
        <f t="shared" si="64"/>
        <v>0</v>
      </c>
      <c r="AG51" s="410">
        <f t="shared" si="64"/>
        <v>0</v>
      </c>
    </row>
    <row r="52" spans="1:33">
      <c r="A52" s="10"/>
      <c r="B52" s="10"/>
      <c r="C52" s="10"/>
      <c r="D52" s="10" t="s">
        <v>202</v>
      </c>
      <c r="E52" s="40">
        <f t="shared" si="77"/>
        <v>1.2728551336146272</v>
      </c>
      <c r="F52" s="40">
        <f t="shared" ref="F52:O52" si="113">F20/F$9</f>
        <v>1.0902989627821842</v>
      </c>
      <c r="G52" s="40">
        <f t="shared" si="113"/>
        <v>0.817533129459735</v>
      </c>
      <c r="H52" s="410">
        <f t="shared" si="113"/>
        <v>0.78998073217726394</v>
      </c>
      <c r="I52" s="410">
        <f t="shared" si="113"/>
        <v>0.98719772403982931</v>
      </c>
      <c r="J52" s="410">
        <f t="shared" si="113"/>
        <v>1.277456647398844</v>
      </c>
      <c r="K52" s="410">
        <f t="shared" si="113"/>
        <v>0.60932721712538229</v>
      </c>
      <c r="L52" s="410">
        <f t="shared" si="113"/>
        <v>0.68976215098241989</v>
      </c>
      <c r="M52" s="410">
        <f t="shared" si="113"/>
        <v>0.9261744966442953</v>
      </c>
      <c r="N52" s="410">
        <f t="shared" si="113"/>
        <v>1.2782060266292923</v>
      </c>
      <c r="O52" s="410">
        <f t="shared" si="113"/>
        <v>0.5348516218081435</v>
      </c>
      <c r="P52" s="410">
        <f t="shared" ref="P52" si="114">P20/P$9</f>
        <v>0.5924956369982548</v>
      </c>
      <c r="Q52" s="410">
        <f t="shared" si="58"/>
        <v>0.78514588859416445</v>
      </c>
      <c r="R52" s="410">
        <f t="shared" si="53"/>
        <v>0.98223169864960913</v>
      </c>
      <c r="S52" s="410">
        <f t="shared" si="53"/>
        <v>0.5622866894197952</v>
      </c>
      <c r="T52" s="410">
        <f t="shared" si="53"/>
        <v>0.78883720930232559</v>
      </c>
      <c r="U52" s="410">
        <f t="shared" si="53"/>
        <v>0.73008323424494648</v>
      </c>
      <c r="V52" s="410">
        <f t="shared" si="53"/>
        <v>0.72624434389140269</v>
      </c>
      <c r="W52" s="410">
        <f t="shared" ref="W52:X52" si="115">W20/W$9</f>
        <v>0.55664652567975825</v>
      </c>
      <c r="X52" s="410">
        <f t="shared" si="115"/>
        <v>0.59047619047619049</v>
      </c>
      <c r="Y52" s="410">
        <f t="shared" ref="Y52:Z52" si="116">Y20/Y$9</f>
        <v>0.89869753979739508</v>
      </c>
      <c r="Z52" s="410">
        <f t="shared" si="116"/>
        <v>0.81291172595520422</v>
      </c>
      <c r="AA52" s="410">
        <f t="shared" ref="AA52:AB52" si="117">AA20/AA$9</f>
        <v>0.61566156615661571</v>
      </c>
      <c r="AB52" s="410">
        <f t="shared" si="117"/>
        <v>0.68041237113402064</v>
      </c>
      <c r="AC52" s="410">
        <f t="shared" ref="AC52:AD52" si="118">AC20/AC$9</f>
        <v>0.98937583001328022</v>
      </c>
      <c r="AD52" s="410">
        <f t="shared" si="118"/>
        <v>0.72190476190476194</v>
      </c>
      <c r="AE52" s="410">
        <f t="shared" ref="AE52" si="119">AE20/AE$9</f>
        <v>0.57589984350547729</v>
      </c>
      <c r="AF52" s="410">
        <f t="shared" si="64"/>
        <v>0.68199233716475094</v>
      </c>
      <c r="AG52" s="410">
        <f t="shared" si="64"/>
        <v>0.80202020202020197</v>
      </c>
    </row>
    <row r="53" spans="1:33" ht="12.75">
      <c r="A53" s="11"/>
      <c r="B53" s="25" t="s">
        <v>1</v>
      </c>
      <c r="C53" s="3"/>
      <c r="D53" s="11"/>
      <c r="E53" s="38">
        <f t="shared" si="77"/>
        <v>-0.27285513361462727</v>
      </c>
      <c r="F53" s="38">
        <f t="shared" ref="F53:O53" si="120">F21/F$9</f>
        <v>-9.0298962782184258E-2</v>
      </c>
      <c r="G53" s="38">
        <f t="shared" si="120"/>
        <v>0.18246687054026503</v>
      </c>
      <c r="H53" s="411">
        <f t="shared" si="120"/>
        <v>0.21001926782273603</v>
      </c>
      <c r="I53" s="411">
        <f t="shared" si="120"/>
        <v>1.2802275960170697E-2</v>
      </c>
      <c r="J53" s="411">
        <f t="shared" si="120"/>
        <v>-0.2774566473988439</v>
      </c>
      <c r="K53" s="411">
        <f t="shared" si="120"/>
        <v>0.39067278287461776</v>
      </c>
      <c r="L53" s="411">
        <f t="shared" si="120"/>
        <v>0.31023784901758017</v>
      </c>
      <c r="M53" s="411">
        <f t="shared" si="120"/>
        <v>7.3825503355704702E-2</v>
      </c>
      <c r="N53" s="411">
        <f t="shared" si="120"/>
        <v>-0.27820602662929222</v>
      </c>
      <c r="O53" s="411">
        <f t="shared" si="120"/>
        <v>0.46514837819185645</v>
      </c>
      <c r="P53" s="411">
        <f>P21/P$9</f>
        <v>0.4075043630017452</v>
      </c>
      <c r="Q53" s="411">
        <f t="shared" si="58"/>
        <v>0.21485411140583555</v>
      </c>
      <c r="R53" s="411">
        <f t="shared" ref="R53:T57" si="121">R21/R$9</f>
        <v>1.7768301350390904E-2</v>
      </c>
      <c r="S53" s="411">
        <f t="shared" si="121"/>
        <v>0.4377133105802048</v>
      </c>
      <c r="T53" s="411">
        <f t="shared" si="121"/>
        <v>0.21116279069767441</v>
      </c>
      <c r="U53" s="411">
        <f t="shared" ref="U53:V53" si="122">U21/U$9</f>
        <v>0.26991676575505352</v>
      </c>
      <c r="V53" s="411">
        <f t="shared" si="122"/>
        <v>0.27375565610859731</v>
      </c>
      <c r="W53" s="411">
        <f t="shared" ref="W53:X53" si="123">W21/W$9</f>
        <v>0.44335347432024169</v>
      </c>
      <c r="X53" s="411">
        <f t="shared" si="123"/>
        <v>0.40952380952380951</v>
      </c>
      <c r="Y53" s="411">
        <f t="shared" ref="Y53:Z53" si="124">Y21/Y$9</f>
        <v>0.10130246020260492</v>
      </c>
      <c r="Z53" s="411">
        <f t="shared" si="124"/>
        <v>0.18708827404479578</v>
      </c>
      <c r="AA53" s="411">
        <f t="shared" ref="AA53:AB53" si="125">AA21/AA$9</f>
        <v>0.38433843384338434</v>
      </c>
      <c r="AB53" s="411">
        <f t="shared" si="125"/>
        <v>0.31958762886597936</v>
      </c>
      <c r="AC53" s="411">
        <f t="shared" ref="AC53:AD53" si="126">AC21/AC$9</f>
        <v>1.0624169986719787E-2</v>
      </c>
      <c r="AD53" s="411">
        <f t="shared" si="126"/>
        <v>0.27809523809523812</v>
      </c>
      <c r="AE53" s="411">
        <f t="shared" ref="AE53" si="127">AE21/AE$9</f>
        <v>0.42410015649452271</v>
      </c>
      <c r="AF53" s="411">
        <f t="shared" si="64"/>
        <v>0.31800766283524906</v>
      </c>
      <c r="AG53" s="411">
        <f t="shared" si="64"/>
        <v>0.19797979797979798</v>
      </c>
    </row>
    <row r="54" spans="1:33">
      <c r="A54" s="12"/>
      <c r="B54" s="663" t="s">
        <v>334</v>
      </c>
      <c r="C54" s="12"/>
      <c r="D54" s="12"/>
      <c r="E54" s="40">
        <f t="shared" si="77"/>
        <v>-3.3755274261603373E-2</v>
      </c>
      <c r="F54" s="40">
        <f t="shared" ref="F54:O54" si="128">F22/F$9</f>
        <v>-1.0982306284319707E-2</v>
      </c>
      <c r="G54" s="40">
        <f t="shared" si="128"/>
        <v>-1.0193679918450561E-2</v>
      </c>
      <c r="H54" s="410">
        <f t="shared" si="128"/>
        <v>0</v>
      </c>
      <c r="I54" s="410">
        <f t="shared" si="128"/>
        <v>-1.5647226173541962E-2</v>
      </c>
      <c r="J54" s="410">
        <f t="shared" si="128"/>
        <v>1.9267822736030828E-3</v>
      </c>
      <c r="K54" s="410">
        <f t="shared" si="128"/>
        <v>0</v>
      </c>
      <c r="L54" s="410">
        <f t="shared" si="128"/>
        <v>-1.0341261633919339E-3</v>
      </c>
      <c r="M54" s="410">
        <f t="shared" si="128"/>
        <v>-1.8791946308724831E-2</v>
      </c>
      <c r="N54" s="410">
        <f t="shared" si="128"/>
        <v>-5.6061667834618077E-3</v>
      </c>
      <c r="O54" s="410">
        <f t="shared" si="128"/>
        <v>-1.3802622498274672E-3</v>
      </c>
      <c r="P54" s="410">
        <f t="shared" ref="P54" si="129">P22/P$9</f>
        <v>-1.7452006980802793E-3</v>
      </c>
      <c r="Q54" s="410">
        <f t="shared" si="58"/>
        <v>-3.9787798408488064E-3</v>
      </c>
      <c r="R54" s="410">
        <f t="shared" si="121"/>
        <v>3.5536602700781805E-3</v>
      </c>
      <c r="S54" s="410">
        <f t="shared" si="121"/>
        <v>-8.5324232081911264E-4</v>
      </c>
      <c r="T54" s="410">
        <f t="shared" si="121"/>
        <v>-1.8604651162790699E-3</v>
      </c>
      <c r="U54" s="410">
        <f t="shared" ref="U54:V56" si="130">U22/U$9</f>
        <v>-1.1890606420927466E-3</v>
      </c>
      <c r="V54" s="410">
        <f t="shared" si="130"/>
        <v>-1.6968325791855204E-3</v>
      </c>
      <c r="W54" s="410">
        <f t="shared" ref="W54:X54" si="131">W22/W$9</f>
        <v>-1.5105740181268882E-3</v>
      </c>
      <c r="X54" s="410">
        <f t="shared" si="131"/>
        <v>0</v>
      </c>
      <c r="Y54" s="410">
        <f t="shared" ref="Y54:Z54" si="132">Y22/Y$9</f>
        <v>5.7887120115774236E-3</v>
      </c>
      <c r="Z54" s="410">
        <f t="shared" si="132"/>
        <v>3.3596837944664032E-2</v>
      </c>
      <c r="AA54" s="410">
        <f t="shared" ref="AA54:AB54" si="133">AA22/AA$9</f>
        <v>4.5904590459045908E-2</v>
      </c>
      <c r="AB54" s="410">
        <f t="shared" si="133"/>
        <v>5.1546391752577317E-2</v>
      </c>
      <c r="AC54" s="410">
        <f t="shared" ref="AC54:AD54" si="134">AC22/AC$9</f>
        <v>6.7729083665338641E-2</v>
      </c>
      <c r="AD54" s="410">
        <f t="shared" si="134"/>
        <v>3.1746031746031744E-2</v>
      </c>
      <c r="AE54" s="410">
        <f t="shared" ref="AE54" si="135">AE22/AE$9</f>
        <v>3.912363067292645E-2</v>
      </c>
      <c r="AF54" s="410">
        <f t="shared" si="64"/>
        <v>4.7892720306513412E-2</v>
      </c>
      <c r="AG54" s="410">
        <f>AG22/AG$9</f>
        <v>5.1515151515151514E-2</v>
      </c>
    </row>
    <row r="55" spans="1:33" ht="12.75">
      <c r="A55" s="12"/>
      <c r="B55" s="22" t="s">
        <v>325</v>
      </c>
      <c r="C55" s="4"/>
      <c r="D55" s="12"/>
      <c r="E55" s="39">
        <f t="shared" si="77"/>
        <v>-0.23909985935302391</v>
      </c>
      <c r="F55" s="39">
        <f t="shared" ref="F55:O55" si="136">F23/F$9</f>
        <v>-7.9316656497864554E-2</v>
      </c>
      <c r="G55" s="39">
        <f t="shared" si="136"/>
        <v>0.19266055045871561</v>
      </c>
      <c r="H55" s="408">
        <f t="shared" si="136"/>
        <v>0.21001926782273603</v>
      </c>
      <c r="I55" s="408">
        <f t="shared" si="136"/>
        <v>2.8449502133712661E-2</v>
      </c>
      <c r="J55" s="408">
        <f t="shared" si="136"/>
        <v>-0.279383429672447</v>
      </c>
      <c r="K55" s="408">
        <f t="shared" si="136"/>
        <v>0.39067278287461776</v>
      </c>
      <c r="L55" s="408">
        <f t="shared" si="136"/>
        <v>0.3112719751809721</v>
      </c>
      <c r="M55" s="408">
        <f t="shared" si="136"/>
        <v>9.261744966442953E-2</v>
      </c>
      <c r="N55" s="408">
        <f t="shared" si="136"/>
        <v>-0.27259985984583041</v>
      </c>
      <c r="O55" s="408">
        <f t="shared" si="136"/>
        <v>0.46652864044168391</v>
      </c>
      <c r="P55" s="408">
        <f t="shared" ref="P55" si="137">P23/P$9</f>
        <v>0.40924956369982546</v>
      </c>
      <c r="Q55" s="408">
        <f t="shared" si="58"/>
        <v>0.21883289124668434</v>
      </c>
      <c r="R55" s="408">
        <f t="shared" si="121"/>
        <v>1.4214641080312722E-2</v>
      </c>
      <c r="S55" s="408">
        <f t="shared" si="121"/>
        <v>0.43856655290102387</v>
      </c>
      <c r="T55" s="408">
        <f t="shared" si="121"/>
        <v>0.21302325581395348</v>
      </c>
      <c r="U55" s="408">
        <f t="shared" si="130"/>
        <v>0.27110582639714625</v>
      </c>
      <c r="V55" s="408">
        <f t="shared" si="130"/>
        <v>0.27545248868778283</v>
      </c>
      <c r="W55" s="408">
        <f t="shared" ref="W55:X55" si="138">W23/W$9</f>
        <v>0.44486404833836857</v>
      </c>
      <c r="X55" s="408">
        <f t="shared" si="138"/>
        <v>0.40952380952380951</v>
      </c>
      <c r="Y55" s="408">
        <f t="shared" ref="Y55:Z55" si="139">Y23/Y$9</f>
        <v>9.5513748191027495E-2</v>
      </c>
      <c r="Z55" s="408">
        <f t="shared" si="139"/>
        <v>0.15349143610013175</v>
      </c>
      <c r="AA55" s="408">
        <f t="shared" ref="AA55:AB55" si="140">AA23/AA$9</f>
        <v>0.33843384338433841</v>
      </c>
      <c r="AB55" s="408">
        <f t="shared" si="140"/>
        <v>0.26804123711340205</v>
      </c>
      <c r="AC55" s="408">
        <f t="shared" ref="AC55:AD55" si="141">AC23/AC$9</f>
        <v>-5.7104913678618856E-2</v>
      </c>
      <c r="AD55" s="408">
        <f t="shared" si="141"/>
        <v>0.24634920634920635</v>
      </c>
      <c r="AE55" s="408">
        <f t="shared" ref="AE55" si="142">AE23/AE$9</f>
        <v>0.38497652582159625</v>
      </c>
      <c r="AF55" s="408">
        <f t="shared" si="64"/>
        <v>0.27011494252873564</v>
      </c>
      <c r="AG55" s="408">
        <f t="shared" si="64"/>
        <v>0.14646464646464646</v>
      </c>
    </row>
    <row r="56" spans="1:33">
      <c r="A56" s="12"/>
      <c r="B56" s="2" t="s">
        <v>326</v>
      </c>
      <c r="C56" s="4"/>
      <c r="D56" s="12"/>
      <c r="E56" s="40">
        <f t="shared" si="77"/>
        <v>-8.7201125175808719E-2</v>
      </c>
      <c r="F56" s="40">
        <f t="shared" ref="F56:O56" si="143">F24/F$9</f>
        <v>-3.5387431360585725E-2</v>
      </c>
      <c r="G56" s="40">
        <f t="shared" si="143"/>
        <v>0</v>
      </c>
      <c r="H56" s="410">
        <f t="shared" si="143"/>
        <v>2.2157996146435453E-2</v>
      </c>
      <c r="I56" s="410">
        <f t="shared" si="143"/>
        <v>7.1123755334281651E-3</v>
      </c>
      <c r="J56" s="410">
        <f t="shared" si="143"/>
        <v>-9.5696852922286454E-2</v>
      </c>
      <c r="K56" s="410">
        <f t="shared" si="143"/>
        <v>9.9388379204892963E-2</v>
      </c>
      <c r="L56" s="410">
        <f t="shared" si="143"/>
        <v>8.4798345398138575E-2</v>
      </c>
      <c r="M56" s="410">
        <f t="shared" si="143"/>
        <v>2.4161073825503355E-2</v>
      </c>
      <c r="N56" s="410">
        <f t="shared" si="143"/>
        <v>-0.10932025227750526</v>
      </c>
      <c r="O56" s="410">
        <f t="shared" si="143"/>
        <v>0.11939268461007592</v>
      </c>
      <c r="P56" s="410">
        <f t="shared" ref="P56" si="144">P24/P$9</f>
        <v>0.1169284467713787</v>
      </c>
      <c r="Q56" s="410">
        <f t="shared" si="58"/>
        <v>2.2546419098143235E-2</v>
      </c>
      <c r="R56" s="410">
        <f t="shared" si="121"/>
        <v>-5.614783226723525E-2</v>
      </c>
      <c r="S56" s="410">
        <f t="shared" si="121"/>
        <v>0.11092150170648464</v>
      </c>
      <c r="T56" s="410">
        <f t="shared" si="121"/>
        <v>4.0930232558139532E-2</v>
      </c>
      <c r="U56" s="410">
        <f t="shared" si="130"/>
        <v>2.3781212841854932E-3</v>
      </c>
      <c r="V56" s="410">
        <f t="shared" si="130"/>
        <v>7.5226244343891399E-2</v>
      </c>
      <c r="W56" s="410">
        <f t="shared" ref="W56:X56" si="145">W24/W$9</f>
        <v>0.10045317220543806</v>
      </c>
      <c r="X56" s="410">
        <f t="shared" si="145"/>
        <v>0.10095238095238095</v>
      </c>
      <c r="Y56" s="410">
        <f t="shared" ref="Y56:Z56" si="146">Y24/Y$9</f>
        <v>1.4471780028943559E-2</v>
      </c>
      <c r="Z56" s="410">
        <f t="shared" si="146"/>
        <v>3.8866930171278E-2</v>
      </c>
      <c r="AA56" s="410">
        <f t="shared" ref="AA56:AB56" si="147">AA24/AA$9</f>
        <v>7.4707470747074706E-2</v>
      </c>
      <c r="AB56" s="410">
        <f t="shared" si="147"/>
        <v>5.7731958762886601E-2</v>
      </c>
      <c r="AC56" s="410">
        <f t="shared" ref="AC56:AD56" si="148">AC24/AC$9</f>
        <v>-2.6560424966799469E-2</v>
      </c>
      <c r="AD56" s="410">
        <f t="shared" si="148"/>
        <v>1.7142857142857144E-2</v>
      </c>
      <c r="AE56" s="410">
        <f t="shared" ref="AE56" si="149">AE24/AE$9</f>
        <v>7.6682316118935834E-2</v>
      </c>
      <c r="AF56" s="410">
        <f t="shared" si="64"/>
        <v>6.7049808429118771E-2</v>
      </c>
      <c r="AG56" s="410">
        <f t="shared" si="64"/>
        <v>1.8181818181818181E-2</v>
      </c>
    </row>
    <row r="57" spans="1:33">
      <c r="A57" s="9"/>
      <c r="B57" s="25" t="s">
        <v>2</v>
      </c>
      <c r="C57" s="9"/>
      <c r="D57" s="9"/>
      <c r="E57" s="41">
        <f t="shared" ref="E57:O57" si="150">E25/E$9</f>
        <v>-0.15189873417721519</v>
      </c>
      <c r="F57" s="41">
        <f t="shared" si="150"/>
        <v>-4.3929225137278829E-2</v>
      </c>
      <c r="G57" s="41">
        <f t="shared" si="150"/>
        <v>0.19266055045871561</v>
      </c>
      <c r="H57" s="412">
        <f t="shared" si="150"/>
        <v>0.18786127167630057</v>
      </c>
      <c r="I57" s="412">
        <f t="shared" si="150"/>
        <v>2.1337126600284494E-2</v>
      </c>
      <c r="J57" s="412">
        <f t="shared" si="150"/>
        <v>-0.18368657675016056</v>
      </c>
      <c r="K57" s="412">
        <f t="shared" si="150"/>
        <v>0.29128440366972475</v>
      </c>
      <c r="L57" s="412">
        <f t="shared" si="150"/>
        <v>0.2264736297828335</v>
      </c>
      <c r="M57" s="412">
        <f t="shared" si="150"/>
        <v>6.8456375838926178E-2</v>
      </c>
      <c r="N57" s="412">
        <f t="shared" si="150"/>
        <v>-0.16327960756832516</v>
      </c>
      <c r="O57" s="412">
        <f t="shared" si="150"/>
        <v>0.347135955831608</v>
      </c>
      <c r="P57" s="412">
        <f t="shared" ref="P57" si="151">P25/P$9</f>
        <v>0.29232111692844676</v>
      </c>
      <c r="Q57" s="412">
        <f t="shared" si="58"/>
        <v>0.19628647214854111</v>
      </c>
      <c r="R57" s="412">
        <f t="shared" si="121"/>
        <v>7.0362473347547971E-2</v>
      </c>
      <c r="S57" s="412">
        <f t="shared" si="121"/>
        <v>0.32764505119453924</v>
      </c>
      <c r="T57" s="412">
        <f t="shared" si="121"/>
        <v>0.17209302325581396</v>
      </c>
      <c r="U57" s="412">
        <f t="shared" ref="U57:V57" si="152">U25/U$9</f>
        <v>0.26872770511296074</v>
      </c>
      <c r="V57" s="412">
        <f t="shared" si="152"/>
        <v>0.20022624434389141</v>
      </c>
      <c r="W57" s="412">
        <f t="shared" ref="W57:X57" si="153">W25/W$9</f>
        <v>0.34441087613293053</v>
      </c>
      <c r="X57" s="412">
        <f t="shared" si="153"/>
        <v>0.30857142857142855</v>
      </c>
      <c r="Y57" s="412">
        <f t="shared" ref="Y57:Z57" si="154">Y25/Y$9</f>
        <v>8.1041968162083936E-2</v>
      </c>
      <c r="Z57" s="412">
        <f t="shared" si="154"/>
        <v>0.11462450592885376</v>
      </c>
      <c r="AA57" s="412">
        <f t="shared" ref="AA57:AB57" si="155">AA25/AA$9</f>
        <v>0.26372637263726373</v>
      </c>
      <c r="AB57" s="412">
        <f t="shared" si="155"/>
        <v>0.21030927835051547</v>
      </c>
      <c r="AC57" s="412">
        <f t="shared" ref="AC57:AD57" si="156">AC25/AC$9</f>
        <v>-3.054448871181939E-2</v>
      </c>
      <c r="AD57" s="412">
        <f t="shared" si="156"/>
        <v>0.22920634920634922</v>
      </c>
      <c r="AE57" s="412">
        <f t="shared" ref="AE57" si="157">AE25/AE$9</f>
        <v>0.30829420970266042</v>
      </c>
      <c r="AF57" s="412">
        <f t="shared" si="64"/>
        <v>0.20306513409961685</v>
      </c>
      <c r="AG57" s="412">
        <f t="shared" si="64"/>
        <v>0.12828282828282828</v>
      </c>
    </row>
    <row r="58" spans="1:33">
      <c r="A58" s="9"/>
      <c r="B58" s="25"/>
      <c r="C58" s="9"/>
      <c r="D58" s="9"/>
      <c r="E58" s="41"/>
      <c r="F58" s="41"/>
      <c r="G58" s="41"/>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row>
    <row r="59" spans="1:33" ht="16.5">
      <c r="A59" s="9"/>
      <c r="B59" s="509" t="s">
        <v>224</v>
      </c>
      <c r="C59" s="9"/>
      <c r="D59" s="9"/>
      <c r="E59" s="41"/>
      <c r="F59" s="41"/>
      <c r="G59" s="41"/>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row>
    <row r="60" spans="1:33">
      <c r="A60" s="20" t="s">
        <v>29</v>
      </c>
      <c r="B60" s="23"/>
      <c r="C60" s="24"/>
      <c r="D60" s="23"/>
      <c r="Q60" s="389"/>
      <c r="R60" s="389"/>
      <c r="S60" s="389"/>
      <c r="T60" s="389"/>
      <c r="U60" s="389"/>
      <c r="V60" s="389"/>
      <c r="W60" s="389"/>
      <c r="X60" s="389"/>
      <c r="Y60" s="389"/>
      <c r="Z60" s="389"/>
      <c r="AA60" s="389"/>
      <c r="AB60" s="389"/>
      <c r="AC60" s="389"/>
      <c r="AD60" s="389"/>
      <c r="AE60" s="389"/>
      <c r="AF60" s="389"/>
      <c r="AG60" s="389"/>
    </row>
    <row r="61" spans="1:33" ht="14.25" customHeight="1">
      <c r="A61" s="23"/>
      <c r="B61" s="24"/>
      <c r="C61" s="24"/>
      <c r="D61" s="23"/>
      <c r="E61" s="19" t="s">
        <v>216</v>
      </c>
      <c r="F61" s="19" t="str">
        <f t="shared" ref="F61:P61" si="158">F6</f>
        <v>Q4</v>
      </c>
      <c r="G61" s="19" t="str">
        <f t="shared" si="158"/>
        <v>Q1</v>
      </c>
      <c r="H61" s="390" t="str">
        <f t="shared" si="158"/>
        <v>Q2</v>
      </c>
      <c r="I61" s="390" t="str">
        <f t="shared" si="158"/>
        <v>Q3</v>
      </c>
      <c r="J61" s="390" t="str">
        <f t="shared" si="158"/>
        <v>Q4</v>
      </c>
      <c r="K61" s="390" t="str">
        <f t="shared" si="158"/>
        <v>Q1</v>
      </c>
      <c r="L61" s="390" t="str">
        <f t="shared" si="158"/>
        <v>Q2</v>
      </c>
      <c r="M61" s="390" t="str">
        <f t="shared" si="158"/>
        <v>Q3</v>
      </c>
      <c r="N61" s="390" t="str">
        <f t="shared" si="158"/>
        <v>Q4</v>
      </c>
      <c r="O61" s="390" t="str">
        <f t="shared" si="158"/>
        <v>Q1</v>
      </c>
      <c r="P61" s="390" t="str">
        <f t="shared" si="158"/>
        <v>Q2</v>
      </c>
      <c r="Q61" s="390" t="str">
        <f t="shared" ref="Q61:R61" si="159">Q6</f>
        <v>Q3</v>
      </c>
      <c r="R61" s="390" t="str">
        <f t="shared" si="159"/>
        <v>Q4</v>
      </c>
      <c r="S61" s="390" t="str">
        <f t="shared" ref="S61:T61" si="160">S6</f>
        <v>Q1</v>
      </c>
      <c r="T61" s="390" t="str">
        <f t="shared" si="160"/>
        <v>Q2</v>
      </c>
      <c r="U61" s="390" t="str">
        <f t="shared" ref="U61:V61" si="161">U6</f>
        <v>Q3</v>
      </c>
      <c r="V61" s="390" t="str">
        <f t="shared" si="161"/>
        <v>Q4</v>
      </c>
      <c r="W61" s="390" t="str">
        <f t="shared" ref="W61:X61" si="162">W6</f>
        <v>Q1</v>
      </c>
      <c r="X61" s="390" t="str">
        <f t="shared" si="162"/>
        <v>Q2</v>
      </c>
      <c r="Y61" s="390" t="str">
        <f t="shared" ref="Y61:Z61" si="163">Y6</f>
        <v>Q3</v>
      </c>
      <c r="Z61" s="390" t="str">
        <f t="shared" si="163"/>
        <v>Q4</v>
      </c>
      <c r="AA61" s="390" t="str">
        <f t="shared" ref="AA61:AB61" si="164">AA6</f>
        <v>Q1</v>
      </c>
      <c r="AB61" s="390" t="str">
        <f t="shared" si="164"/>
        <v>Q2</v>
      </c>
      <c r="AC61" s="390" t="str">
        <f t="shared" ref="AC61:AD61" si="165">AC6</f>
        <v>Q3</v>
      </c>
      <c r="AD61" s="390" t="str">
        <f t="shared" si="165"/>
        <v>Q4</v>
      </c>
      <c r="AE61" s="390" t="str">
        <f t="shared" ref="AE61:AF61" si="166">AE6</f>
        <v>Q1</v>
      </c>
      <c r="AF61" s="390" t="str">
        <f t="shared" si="166"/>
        <v>Q2</v>
      </c>
      <c r="AG61" s="390" t="str">
        <f t="shared" ref="AG61" si="167">AG6</f>
        <v>Q3</v>
      </c>
    </row>
    <row r="62" spans="1:33" ht="12.75">
      <c r="A62" s="23"/>
      <c r="B62" s="26"/>
      <c r="C62" s="26"/>
      <c r="D62" s="23"/>
      <c r="E62" s="45" t="s">
        <v>43</v>
      </c>
      <c r="F62" s="45" t="str">
        <f t="shared" ref="F62:P62" si="168">F7</f>
        <v>CY08</v>
      </c>
      <c r="G62" s="45" t="str">
        <f t="shared" si="168"/>
        <v>CY09</v>
      </c>
      <c r="H62" s="391" t="str">
        <f t="shared" si="168"/>
        <v>CY09</v>
      </c>
      <c r="I62" s="391" t="str">
        <f t="shared" si="168"/>
        <v>CY09</v>
      </c>
      <c r="J62" s="391" t="str">
        <f t="shared" si="168"/>
        <v>CY09</v>
      </c>
      <c r="K62" s="391" t="str">
        <f t="shared" si="168"/>
        <v>CY10</v>
      </c>
      <c r="L62" s="391" t="str">
        <f t="shared" si="168"/>
        <v>CY10</v>
      </c>
      <c r="M62" s="391" t="str">
        <f t="shared" si="168"/>
        <v>CY10</v>
      </c>
      <c r="N62" s="391" t="str">
        <f t="shared" si="168"/>
        <v>CY10</v>
      </c>
      <c r="O62" s="391" t="str">
        <f t="shared" si="168"/>
        <v>CY11</v>
      </c>
      <c r="P62" s="391" t="str">
        <f t="shared" si="168"/>
        <v>CY11</v>
      </c>
      <c r="Q62" s="391" t="str">
        <f t="shared" ref="Q62:V62" si="169">Q7</f>
        <v>CY11</v>
      </c>
      <c r="R62" s="391" t="str">
        <f t="shared" si="169"/>
        <v>CY11</v>
      </c>
      <c r="S62" s="391" t="str">
        <f t="shared" si="169"/>
        <v>CY12</v>
      </c>
      <c r="T62" s="391" t="str">
        <f t="shared" si="169"/>
        <v>CY12</v>
      </c>
      <c r="U62" s="391" t="str">
        <f t="shared" si="169"/>
        <v>CY12</v>
      </c>
      <c r="V62" s="391" t="str">
        <f t="shared" si="169"/>
        <v>CY12</v>
      </c>
      <c r="W62" s="391" t="str">
        <f t="shared" ref="W62:X62" si="170">W7</f>
        <v>CY13</v>
      </c>
      <c r="X62" s="391" t="str">
        <f t="shared" si="170"/>
        <v>CY13</v>
      </c>
      <c r="Y62" s="391" t="str">
        <f t="shared" ref="Y62:Z62" si="171">Y7</f>
        <v>CY13</v>
      </c>
      <c r="Z62" s="391" t="str">
        <f t="shared" si="171"/>
        <v>CY13</v>
      </c>
      <c r="AA62" s="391" t="str">
        <f t="shared" ref="AA62:AB62" si="172">AA7</f>
        <v>CY14</v>
      </c>
      <c r="AB62" s="391" t="str">
        <f t="shared" si="172"/>
        <v>CY14</v>
      </c>
      <c r="AC62" s="391" t="str">
        <f t="shared" ref="AC62:AD62" si="173">AC7</f>
        <v>CY14</v>
      </c>
      <c r="AD62" s="391" t="str">
        <f t="shared" si="173"/>
        <v>CY14</v>
      </c>
      <c r="AE62" s="391" t="str">
        <f t="shared" ref="AE62:AF62" si="174">AE7</f>
        <v>CY15</v>
      </c>
      <c r="AF62" s="391" t="str">
        <f t="shared" si="174"/>
        <v>CY15</v>
      </c>
      <c r="AG62" s="391" t="str">
        <f t="shared" ref="AG62" si="175">AG7</f>
        <v>CY15</v>
      </c>
    </row>
    <row r="63" spans="1:33" ht="7.5" customHeight="1">
      <c r="A63" s="21"/>
      <c r="B63" s="21"/>
      <c r="C63" s="21"/>
      <c r="D63" s="21"/>
      <c r="P63" s="413"/>
      <c r="Q63" s="413"/>
      <c r="R63" s="413"/>
      <c r="S63" s="413"/>
      <c r="T63" s="413"/>
      <c r="U63" s="413"/>
      <c r="V63" s="413"/>
      <c r="W63" s="413"/>
      <c r="X63" s="413"/>
      <c r="Y63" s="413"/>
      <c r="Z63" s="413"/>
      <c r="AA63" s="413"/>
      <c r="AB63" s="413"/>
      <c r="AC63" s="413"/>
      <c r="AD63" s="413"/>
      <c r="AE63" s="413"/>
      <c r="AF63" s="413"/>
      <c r="AG63" s="413"/>
    </row>
    <row r="64" spans="1:33" ht="12.75">
      <c r="A64" s="8"/>
      <c r="B64" s="1" t="s">
        <v>204</v>
      </c>
      <c r="C64" s="9"/>
      <c r="D64" s="8"/>
      <c r="E64" s="13">
        <v>717</v>
      </c>
      <c r="F64" s="13">
        <v>2343</v>
      </c>
      <c r="G64" s="13">
        <v>724</v>
      </c>
      <c r="H64" s="392">
        <v>801</v>
      </c>
      <c r="I64" s="392">
        <v>755</v>
      </c>
      <c r="J64" s="392">
        <v>2495</v>
      </c>
      <c r="K64" s="392">
        <v>714</v>
      </c>
      <c r="L64" s="392">
        <v>683</v>
      </c>
      <c r="M64" s="392">
        <v>857</v>
      </c>
      <c r="N64" s="392">
        <v>2548</v>
      </c>
      <c r="O64" s="392">
        <v>755</v>
      </c>
      <c r="P64" s="392">
        <v>699</v>
      </c>
      <c r="Q64" s="392">
        <v>627</v>
      </c>
      <c r="R64" s="392">
        <v>2408</v>
      </c>
      <c r="S64" s="392">
        <v>587</v>
      </c>
      <c r="T64" s="392">
        <v>1054</v>
      </c>
      <c r="U64" s="392">
        <v>751</v>
      </c>
      <c r="V64" s="392">
        <v>2595</v>
      </c>
      <c r="W64" s="392">
        <v>804</v>
      </c>
      <c r="X64" s="392">
        <v>608</v>
      </c>
      <c r="Y64" s="392">
        <v>657</v>
      </c>
      <c r="Z64" s="392">
        <v>2272</v>
      </c>
      <c r="AA64" s="392">
        <v>772</v>
      </c>
      <c r="AB64" s="392">
        <v>658</v>
      </c>
      <c r="AC64" s="392">
        <v>1170</v>
      </c>
      <c r="AD64" s="392">
        <v>2213</v>
      </c>
      <c r="AE64" s="392">
        <v>703</v>
      </c>
      <c r="AF64" s="392">
        <v>759</v>
      </c>
      <c r="AG64" s="392">
        <v>1040</v>
      </c>
    </row>
    <row r="65" spans="1:35" ht="12.75">
      <c r="A65" s="8"/>
      <c r="B65" s="1" t="s">
        <v>203</v>
      </c>
      <c r="C65" s="9"/>
      <c r="D65" s="8"/>
      <c r="E65" s="13"/>
      <c r="F65" s="13"/>
      <c r="G65" s="13"/>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row>
    <row r="66" spans="1:35" s="48" customFormat="1" ht="12.75">
      <c r="A66" s="10"/>
      <c r="C66" s="2" t="s">
        <v>214</v>
      </c>
      <c r="D66" s="10"/>
      <c r="E66" s="47">
        <v>270</v>
      </c>
      <c r="F66" s="47">
        <v>933</v>
      </c>
      <c r="G66" s="47">
        <v>238</v>
      </c>
      <c r="H66" s="393">
        <v>237</v>
      </c>
      <c r="I66" s="393">
        <v>204</v>
      </c>
      <c r="J66" s="393">
        <v>863</v>
      </c>
      <c r="K66" s="393">
        <v>203</v>
      </c>
      <c r="L66" s="393">
        <v>166</v>
      </c>
      <c r="M66" s="393">
        <v>196</v>
      </c>
      <c r="N66" s="393">
        <v>783</v>
      </c>
      <c r="O66" s="393">
        <v>167</v>
      </c>
      <c r="P66" s="393">
        <v>135</v>
      </c>
      <c r="Q66" s="393">
        <v>128</v>
      </c>
      <c r="R66" s="393">
        <v>690</v>
      </c>
      <c r="S66" s="393">
        <v>138</v>
      </c>
      <c r="T66" s="393">
        <v>168</v>
      </c>
      <c r="U66" s="393">
        <v>141</v>
      </c>
      <c r="V66" s="393">
        <v>669</v>
      </c>
      <c r="W66" s="393">
        <v>145</v>
      </c>
      <c r="X66" s="393">
        <v>102</v>
      </c>
      <c r="Y66" s="393">
        <v>112</v>
      </c>
      <c r="Z66" s="393">
        <v>683</v>
      </c>
      <c r="AA66" s="393">
        <v>130</v>
      </c>
      <c r="AB66" s="393">
        <v>118</v>
      </c>
      <c r="AC66" s="393">
        <v>236</v>
      </c>
      <c r="AD66" s="393">
        <v>544</v>
      </c>
      <c r="AE66" s="393">
        <v>96</v>
      </c>
      <c r="AF66" s="393">
        <v>97</v>
      </c>
      <c r="AG66" s="393">
        <v>202</v>
      </c>
    </row>
    <row r="67" spans="1:35" s="48" customFormat="1" ht="12.75">
      <c r="A67" s="10"/>
      <c r="C67" s="2" t="s">
        <v>313</v>
      </c>
      <c r="D67" s="10"/>
      <c r="E67" s="47">
        <v>43</v>
      </c>
      <c r="F67" s="47">
        <v>53</v>
      </c>
      <c r="G67" s="47">
        <v>52</v>
      </c>
      <c r="H67" s="393">
        <v>51</v>
      </c>
      <c r="I67" s="393">
        <v>55</v>
      </c>
      <c r="J67" s="393">
        <v>54</v>
      </c>
      <c r="K67" s="393">
        <f>56+2</f>
        <v>58</v>
      </c>
      <c r="L67" s="393">
        <f>53+2</f>
        <v>55</v>
      </c>
      <c r="M67" s="393">
        <f>61+3</f>
        <v>64</v>
      </c>
      <c r="N67" s="393">
        <f>73+3</f>
        <v>76</v>
      </c>
      <c r="O67" s="393">
        <f>63+3</f>
        <v>66</v>
      </c>
      <c r="P67" s="393">
        <f>59+3</f>
        <v>62</v>
      </c>
      <c r="Q67" s="393">
        <f>59+4</f>
        <v>63</v>
      </c>
      <c r="R67" s="393">
        <f>58+7</f>
        <v>65</v>
      </c>
      <c r="S67" s="393">
        <f>59+10</f>
        <v>69</v>
      </c>
      <c r="T67" s="393">
        <f>64+7</f>
        <v>71</v>
      </c>
      <c r="U67" s="393">
        <f>56+6</f>
        <v>62</v>
      </c>
      <c r="V67" s="393">
        <f>53+7</f>
        <v>60</v>
      </c>
      <c r="W67" s="393">
        <v>57</v>
      </c>
      <c r="X67" s="393">
        <v>54</v>
      </c>
      <c r="Y67" s="393">
        <v>43</v>
      </c>
      <c r="Z67" s="393">
        <v>50</v>
      </c>
      <c r="AA67" s="393">
        <v>58</v>
      </c>
      <c r="AB67" s="393">
        <v>56</v>
      </c>
      <c r="AC67" s="393">
        <v>56</v>
      </c>
      <c r="AD67" s="393">
        <v>61</v>
      </c>
      <c r="AE67" s="393">
        <v>53</v>
      </c>
      <c r="AF67" s="393">
        <v>53</v>
      </c>
      <c r="AG67" s="393">
        <v>55</v>
      </c>
    </row>
    <row r="68" spans="1:35" s="48" customFormat="1" ht="12.75">
      <c r="A68" s="10"/>
      <c r="C68" s="2" t="s">
        <v>212</v>
      </c>
      <c r="D68" s="10"/>
      <c r="E68" s="47">
        <v>25</v>
      </c>
      <c r="F68" s="47">
        <v>165</v>
      </c>
      <c r="G68" s="47">
        <v>28</v>
      </c>
      <c r="H68" s="393">
        <v>36</v>
      </c>
      <c r="I68" s="393">
        <v>74</v>
      </c>
      <c r="J68" s="393">
        <v>107</v>
      </c>
      <c r="K68" s="393">
        <v>29</v>
      </c>
      <c r="L68" s="393">
        <v>52</v>
      </c>
      <c r="M68" s="393">
        <v>53</v>
      </c>
      <c r="N68" s="393">
        <v>153</v>
      </c>
      <c r="O68" s="393">
        <v>15</v>
      </c>
      <c r="P68" s="393">
        <v>12</v>
      </c>
      <c r="Q68" s="393">
        <v>14</v>
      </c>
      <c r="R68" s="393">
        <v>119</v>
      </c>
      <c r="S68" s="393">
        <v>10</v>
      </c>
      <c r="T68" s="393">
        <v>54</v>
      </c>
      <c r="U68" s="393">
        <v>41</v>
      </c>
      <c r="V68" s="393">
        <v>115</v>
      </c>
      <c r="W68" s="393">
        <v>23</v>
      </c>
      <c r="X68" s="393">
        <v>9</v>
      </c>
      <c r="Y68" s="393">
        <v>12</v>
      </c>
      <c r="Z68" s="393">
        <v>129</v>
      </c>
      <c r="AA68" s="393">
        <v>25</v>
      </c>
      <c r="AB68" s="393">
        <v>18</v>
      </c>
      <c r="AC68" s="393">
        <v>190</v>
      </c>
      <c r="AD68" s="393">
        <v>171</v>
      </c>
      <c r="AE68" s="393">
        <v>44</v>
      </c>
      <c r="AF68" s="393">
        <v>37</v>
      </c>
      <c r="AG68" s="393">
        <v>94</v>
      </c>
    </row>
    <row r="69" spans="1:35" s="48" customFormat="1" ht="12.75">
      <c r="A69" s="10"/>
      <c r="C69" s="2" t="s">
        <v>213</v>
      </c>
      <c r="D69" s="10"/>
      <c r="E69" s="47">
        <v>14</v>
      </c>
      <c r="F69" s="47">
        <v>75</v>
      </c>
      <c r="G69" s="47">
        <v>28</v>
      </c>
      <c r="H69" s="393">
        <v>28</v>
      </c>
      <c r="I69" s="393">
        <v>26</v>
      </c>
      <c r="J69" s="393">
        <v>44</v>
      </c>
      <c r="K69" s="393">
        <v>17</v>
      </c>
      <c r="L69" s="393">
        <v>18</v>
      </c>
      <c r="M69" s="393">
        <v>25</v>
      </c>
      <c r="N69" s="393">
        <v>40</v>
      </c>
      <c r="O69" s="393">
        <v>7</v>
      </c>
      <c r="P69" s="393">
        <v>12</v>
      </c>
      <c r="Q69" s="393">
        <v>7</v>
      </c>
      <c r="R69" s="393">
        <v>45</v>
      </c>
      <c r="S69" s="393">
        <v>3</v>
      </c>
      <c r="T69" s="393">
        <v>18</v>
      </c>
      <c r="U69" s="393">
        <v>9</v>
      </c>
      <c r="V69" s="393">
        <v>32</v>
      </c>
      <c r="W69" s="393">
        <v>32</v>
      </c>
      <c r="X69" s="393">
        <v>10</v>
      </c>
      <c r="Y69" s="393">
        <v>2</v>
      </c>
      <c r="Z69" s="393">
        <v>16</v>
      </c>
      <c r="AA69" s="393">
        <v>0</v>
      </c>
      <c r="AB69" s="393">
        <v>11</v>
      </c>
      <c r="AC69" s="393">
        <v>5</v>
      </c>
      <c r="AD69" s="393">
        <v>5</v>
      </c>
      <c r="AE69" s="393">
        <v>2</v>
      </c>
      <c r="AF69" s="393">
        <v>2</v>
      </c>
      <c r="AG69" s="393">
        <v>4</v>
      </c>
    </row>
    <row r="70" spans="1:35" ht="12.75">
      <c r="A70" s="10"/>
      <c r="B70" s="10"/>
      <c r="C70" s="6" t="s">
        <v>47</v>
      </c>
      <c r="D70" s="10"/>
      <c r="E70" s="15">
        <v>102</v>
      </c>
      <c r="F70" s="15">
        <v>176</v>
      </c>
      <c r="G70" s="15">
        <v>111</v>
      </c>
      <c r="H70" s="394">
        <v>116</v>
      </c>
      <c r="I70" s="394">
        <v>111</v>
      </c>
      <c r="J70" s="394">
        <v>253</v>
      </c>
      <c r="K70" s="394">
        <f>132-2</f>
        <v>130</v>
      </c>
      <c r="L70" s="394">
        <f>105-2</f>
        <v>103</v>
      </c>
      <c r="M70" s="394">
        <f>113-1-3</f>
        <v>109</v>
      </c>
      <c r="N70" s="394">
        <f>267-2-3</f>
        <v>262</v>
      </c>
      <c r="O70" s="394">
        <f>136-3</f>
        <v>133</v>
      </c>
      <c r="P70" s="394">
        <f>111-3</f>
        <v>108</v>
      </c>
      <c r="Q70" s="394">
        <f>128-4</f>
        <v>124</v>
      </c>
      <c r="R70" s="394">
        <f>231-7</f>
        <v>224</v>
      </c>
      <c r="S70" s="394">
        <f>120-10</f>
        <v>110</v>
      </c>
      <c r="T70" s="394">
        <f>147-7</f>
        <v>140</v>
      </c>
      <c r="U70" s="394">
        <f>126-6</f>
        <v>120</v>
      </c>
      <c r="V70" s="394">
        <f>223-7</f>
        <v>216</v>
      </c>
      <c r="W70" s="394">
        <v>118</v>
      </c>
      <c r="X70" s="394">
        <v>116</v>
      </c>
      <c r="Y70" s="394">
        <v>131</v>
      </c>
      <c r="Z70" s="394">
        <v>187</v>
      </c>
      <c r="AA70" s="394">
        <v>135</v>
      </c>
      <c r="AB70" s="394">
        <v>109</v>
      </c>
      <c r="AC70" s="394">
        <v>126</v>
      </c>
      <c r="AD70" s="394">
        <v>179</v>
      </c>
      <c r="AE70" s="394">
        <v>138</v>
      </c>
      <c r="AF70" s="394">
        <v>143</v>
      </c>
      <c r="AG70" s="394">
        <v>153</v>
      </c>
    </row>
    <row r="71" spans="1:35" ht="12.75">
      <c r="A71" s="10"/>
      <c r="B71" s="10"/>
      <c r="C71" s="6" t="s">
        <v>48</v>
      </c>
      <c r="D71" s="10"/>
      <c r="E71" s="15">
        <v>91</v>
      </c>
      <c r="F71" s="15">
        <v>233</v>
      </c>
      <c r="G71" s="15">
        <v>78</v>
      </c>
      <c r="H71" s="394">
        <v>114</v>
      </c>
      <c r="I71" s="394">
        <v>131</v>
      </c>
      <c r="J71" s="394">
        <v>216</v>
      </c>
      <c r="K71" s="394">
        <v>54</v>
      </c>
      <c r="L71" s="394">
        <v>123</v>
      </c>
      <c r="M71" s="394">
        <f>109-1</f>
        <v>108</v>
      </c>
      <c r="N71" s="394">
        <f>224-1</f>
        <v>223</v>
      </c>
      <c r="O71" s="394">
        <f>63-4</f>
        <v>59</v>
      </c>
      <c r="P71" s="394">
        <v>92</v>
      </c>
      <c r="Q71" s="394">
        <v>113</v>
      </c>
      <c r="R71" s="394">
        <v>279</v>
      </c>
      <c r="S71" s="394">
        <v>77</v>
      </c>
      <c r="T71" s="394">
        <v>135</v>
      </c>
      <c r="U71" s="394">
        <v>129</v>
      </c>
      <c r="V71" s="394">
        <v>230</v>
      </c>
      <c r="W71" s="394">
        <v>105</v>
      </c>
      <c r="X71" s="394">
        <v>114</v>
      </c>
      <c r="Y71" s="394">
        <v>142</v>
      </c>
      <c r="Z71" s="394">
        <v>237</v>
      </c>
      <c r="AA71" s="394">
        <v>102</v>
      </c>
      <c r="AB71" s="394">
        <v>139</v>
      </c>
      <c r="AC71" s="394">
        <v>218</v>
      </c>
      <c r="AD71" s="394">
        <v>245</v>
      </c>
      <c r="AE71" s="394">
        <v>90</v>
      </c>
      <c r="AF71" s="394">
        <v>162</v>
      </c>
      <c r="AG71" s="394">
        <v>187</v>
      </c>
    </row>
    <row r="72" spans="1:35">
      <c r="A72" s="10"/>
      <c r="B72" s="10"/>
      <c r="C72" s="6" t="s">
        <v>49</v>
      </c>
      <c r="D72" s="10"/>
      <c r="E72" s="16">
        <v>50</v>
      </c>
      <c r="F72" s="16">
        <v>64</v>
      </c>
      <c r="G72" s="16">
        <v>70</v>
      </c>
      <c r="H72" s="395">
        <v>63</v>
      </c>
      <c r="I72" s="395">
        <v>79</v>
      </c>
      <c r="J72" s="395">
        <v>74</v>
      </c>
      <c r="K72" s="395">
        <v>58</v>
      </c>
      <c r="L72" s="395">
        <v>65</v>
      </c>
      <c r="M72" s="395">
        <f>96+2</f>
        <v>98</v>
      </c>
      <c r="N72" s="395">
        <f>107+3</f>
        <v>110</v>
      </c>
      <c r="O72" s="395">
        <f>86+4</f>
        <v>90</v>
      </c>
      <c r="P72" s="395">
        <v>113</v>
      </c>
      <c r="Q72" s="395">
        <v>93</v>
      </c>
      <c r="R72" s="395">
        <v>96</v>
      </c>
      <c r="S72" s="395">
        <v>90</v>
      </c>
      <c r="T72" s="395">
        <v>168</v>
      </c>
      <c r="U72" s="395">
        <v>95</v>
      </c>
      <c r="V72" s="395">
        <v>119</v>
      </c>
      <c r="W72" s="395">
        <v>77</v>
      </c>
      <c r="X72" s="395">
        <v>84</v>
      </c>
      <c r="Y72" s="395">
        <v>87</v>
      </c>
      <c r="Z72" s="395">
        <v>110</v>
      </c>
      <c r="AA72" s="395">
        <v>82</v>
      </c>
      <c r="AB72" s="395">
        <v>94</v>
      </c>
      <c r="AC72" s="395">
        <v>79</v>
      </c>
      <c r="AD72" s="395">
        <v>94</v>
      </c>
      <c r="AE72" s="395">
        <v>76</v>
      </c>
      <c r="AF72" s="395">
        <v>92</v>
      </c>
      <c r="AG72" s="395">
        <v>94</v>
      </c>
    </row>
    <row r="73" spans="1:35">
      <c r="A73" s="10"/>
      <c r="B73" s="10"/>
      <c r="C73" s="10"/>
      <c r="D73" s="10" t="s">
        <v>202</v>
      </c>
      <c r="E73" s="16">
        <f t="shared" ref="E73:O73" si="176">SUM(E66:E72)</f>
        <v>595</v>
      </c>
      <c r="F73" s="16">
        <f t="shared" si="176"/>
        <v>1699</v>
      </c>
      <c r="G73" s="16">
        <f t="shared" si="176"/>
        <v>605</v>
      </c>
      <c r="H73" s="395">
        <f t="shared" si="176"/>
        <v>645</v>
      </c>
      <c r="I73" s="395">
        <f t="shared" si="176"/>
        <v>680</v>
      </c>
      <c r="J73" s="395">
        <f t="shared" si="176"/>
        <v>1611</v>
      </c>
      <c r="K73" s="395">
        <f t="shared" si="176"/>
        <v>549</v>
      </c>
      <c r="L73" s="395">
        <f>SUM(L66:L72)</f>
        <v>582</v>
      </c>
      <c r="M73" s="395">
        <f t="shared" si="176"/>
        <v>653</v>
      </c>
      <c r="N73" s="395">
        <f t="shared" si="176"/>
        <v>1647</v>
      </c>
      <c r="O73" s="395">
        <f t="shared" si="176"/>
        <v>537</v>
      </c>
      <c r="P73" s="395">
        <f t="shared" ref="P73:Q73" si="177">SUM(P66:P72)</f>
        <v>534</v>
      </c>
      <c r="Q73" s="395">
        <f t="shared" si="177"/>
        <v>542</v>
      </c>
      <c r="R73" s="395">
        <f t="shared" ref="R73:S73" si="178">SUM(R66:R72)</f>
        <v>1518</v>
      </c>
      <c r="S73" s="395">
        <f t="shared" si="178"/>
        <v>497</v>
      </c>
      <c r="T73" s="395">
        <f t="shared" ref="T73:U73" si="179">SUM(T66:T72)</f>
        <v>754</v>
      </c>
      <c r="U73" s="395">
        <f t="shared" si="179"/>
        <v>597</v>
      </c>
      <c r="V73" s="395">
        <f t="shared" ref="V73:W73" si="180">SUM(V66:V72)</f>
        <v>1441</v>
      </c>
      <c r="W73" s="395">
        <f t="shared" si="180"/>
        <v>557</v>
      </c>
      <c r="X73" s="395">
        <f t="shared" ref="X73:Y73" si="181">SUM(X66:X72)</f>
        <v>489</v>
      </c>
      <c r="Y73" s="395">
        <f t="shared" si="181"/>
        <v>529</v>
      </c>
      <c r="Z73" s="395">
        <f t="shared" ref="Z73:AA73" si="182">SUM(Z66:Z72)</f>
        <v>1412</v>
      </c>
      <c r="AA73" s="395">
        <f t="shared" si="182"/>
        <v>532</v>
      </c>
      <c r="AB73" s="395">
        <f t="shared" ref="AB73:AC73" si="183">SUM(AB66:AB72)</f>
        <v>545</v>
      </c>
      <c r="AC73" s="395">
        <f t="shared" si="183"/>
        <v>910</v>
      </c>
      <c r="AD73" s="395">
        <f t="shared" ref="AD73:AE73" si="184">SUM(AD66:AD72)</f>
        <v>1299</v>
      </c>
      <c r="AE73" s="395">
        <f t="shared" si="184"/>
        <v>499</v>
      </c>
      <c r="AF73" s="395">
        <f t="shared" ref="AF73" si="185">SUM(AF66:AF72)</f>
        <v>586</v>
      </c>
      <c r="AG73" s="395">
        <f>SUM(AG66:AG72)</f>
        <v>789</v>
      </c>
    </row>
    <row r="74" spans="1:35" ht="12.75">
      <c r="A74" s="11"/>
      <c r="B74" s="25" t="s">
        <v>1</v>
      </c>
      <c r="C74" s="3"/>
      <c r="D74" s="11"/>
      <c r="E74" s="14">
        <f>+E64-E73</f>
        <v>122</v>
      </c>
      <c r="F74" s="14">
        <f t="shared" ref="F74:O74" si="186">+F64-F73</f>
        <v>644</v>
      </c>
      <c r="G74" s="14">
        <f t="shared" si="186"/>
        <v>119</v>
      </c>
      <c r="H74" s="396">
        <f t="shared" si="186"/>
        <v>156</v>
      </c>
      <c r="I74" s="396">
        <f t="shared" si="186"/>
        <v>75</v>
      </c>
      <c r="J74" s="396">
        <f t="shared" si="186"/>
        <v>884</v>
      </c>
      <c r="K74" s="396">
        <f t="shared" si="186"/>
        <v>165</v>
      </c>
      <c r="L74" s="396">
        <f t="shared" si="186"/>
        <v>101</v>
      </c>
      <c r="M74" s="396">
        <f t="shared" si="186"/>
        <v>204</v>
      </c>
      <c r="N74" s="396">
        <f t="shared" si="186"/>
        <v>901</v>
      </c>
      <c r="O74" s="396">
        <f t="shared" si="186"/>
        <v>218</v>
      </c>
      <c r="P74" s="396">
        <f t="shared" ref="P74:U74" si="187">+P64-P73</f>
        <v>165</v>
      </c>
      <c r="Q74" s="396">
        <f t="shared" si="187"/>
        <v>85</v>
      </c>
      <c r="R74" s="396">
        <f t="shared" si="187"/>
        <v>890</v>
      </c>
      <c r="S74" s="396">
        <f t="shared" si="187"/>
        <v>90</v>
      </c>
      <c r="T74" s="396">
        <f t="shared" si="187"/>
        <v>300</v>
      </c>
      <c r="U74" s="396">
        <f t="shared" si="187"/>
        <v>154</v>
      </c>
      <c r="V74" s="396">
        <f t="shared" ref="V74:W74" si="188">+V64-V73</f>
        <v>1154</v>
      </c>
      <c r="W74" s="396">
        <f t="shared" si="188"/>
        <v>247</v>
      </c>
      <c r="X74" s="396">
        <f t="shared" ref="X74:Y74" si="189">+X64-X73</f>
        <v>119</v>
      </c>
      <c r="Y74" s="396">
        <f t="shared" si="189"/>
        <v>128</v>
      </c>
      <c r="Z74" s="396">
        <f t="shared" ref="Z74:AA74" si="190">+Z64-Z73</f>
        <v>860</v>
      </c>
      <c r="AA74" s="396">
        <f t="shared" si="190"/>
        <v>240</v>
      </c>
      <c r="AB74" s="396">
        <f t="shared" ref="AB74:AC74" si="191">+AB64-AB73</f>
        <v>113</v>
      </c>
      <c r="AC74" s="396">
        <f t="shared" si="191"/>
        <v>260</v>
      </c>
      <c r="AD74" s="396">
        <f t="shared" ref="AD74:AE74" si="192">+AD64-AD73</f>
        <v>914</v>
      </c>
      <c r="AE74" s="396">
        <f t="shared" si="192"/>
        <v>204</v>
      </c>
      <c r="AF74" s="396">
        <f t="shared" ref="AF74" si="193">+AF64-AF73</f>
        <v>173</v>
      </c>
      <c r="AG74" s="396">
        <f>+AG64-AG73</f>
        <v>251</v>
      </c>
    </row>
    <row r="75" spans="1:35" s="51" customFormat="1">
      <c r="A75" s="49"/>
      <c r="B75" s="663" t="s">
        <v>334</v>
      </c>
      <c r="C75" s="664"/>
      <c r="D75" s="664"/>
      <c r="E75" s="395">
        <v>-24</v>
      </c>
      <c r="F75" s="50">
        <v>-18</v>
      </c>
      <c r="G75" s="50">
        <v>-10</v>
      </c>
      <c r="H75" s="395">
        <v>0</v>
      </c>
      <c r="I75" s="395">
        <v>-3</v>
      </c>
      <c r="J75" s="395">
        <v>3</v>
      </c>
      <c r="K75" s="395">
        <v>0</v>
      </c>
      <c r="L75" s="395">
        <v>-1</v>
      </c>
      <c r="M75" s="395">
        <v>-14</v>
      </c>
      <c r="N75" s="395">
        <v>-8</v>
      </c>
      <c r="O75" s="395">
        <v>-2</v>
      </c>
      <c r="P75" s="395">
        <v>-2</v>
      </c>
      <c r="Q75" s="395">
        <v>-3</v>
      </c>
      <c r="R75" s="395">
        <v>5</v>
      </c>
      <c r="S75" s="395">
        <v>-1</v>
      </c>
      <c r="T75" s="395">
        <v>-2</v>
      </c>
      <c r="U75" s="395">
        <v>-1</v>
      </c>
      <c r="V75" s="395">
        <v>-3</v>
      </c>
      <c r="W75" s="395">
        <v>-2</v>
      </c>
      <c r="X75" s="395">
        <v>0</v>
      </c>
      <c r="Y75" s="395">
        <v>4</v>
      </c>
      <c r="Z75" s="395">
        <v>51</v>
      </c>
      <c r="AA75" s="395">
        <v>51</v>
      </c>
      <c r="AB75" s="395">
        <v>50</v>
      </c>
      <c r="AC75" s="395">
        <v>51</v>
      </c>
      <c r="AD75" s="395">
        <v>50</v>
      </c>
      <c r="AE75" s="395">
        <v>50</v>
      </c>
      <c r="AF75" s="395">
        <v>50</v>
      </c>
      <c r="AG75" s="395">
        <v>51</v>
      </c>
    </row>
    <row r="76" spans="1:35" s="51" customFormat="1" ht="12.75">
      <c r="A76" s="49"/>
      <c r="B76" s="22" t="s">
        <v>325</v>
      </c>
      <c r="C76" s="52"/>
      <c r="D76" s="49"/>
      <c r="E76" s="394">
        <f t="shared" ref="E76:AD76" si="194">E74-E75</f>
        <v>146</v>
      </c>
      <c r="F76" s="394">
        <f t="shared" si="194"/>
        <v>662</v>
      </c>
      <c r="G76" s="394">
        <f t="shared" si="194"/>
        <v>129</v>
      </c>
      <c r="H76" s="394">
        <f t="shared" si="194"/>
        <v>156</v>
      </c>
      <c r="I76" s="394">
        <f t="shared" si="194"/>
        <v>78</v>
      </c>
      <c r="J76" s="394">
        <f t="shared" si="194"/>
        <v>881</v>
      </c>
      <c r="K76" s="394">
        <f t="shared" si="194"/>
        <v>165</v>
      </c>
      <c r="L76" s="394">
        <f t="shared" si="194"/>
        <v>102</v>
      </c>
      <c r="M76" s="394">
        <f t="shared" si="194"/>
        <v>218</v>
      </c>
      <c r="N76" s="394">
        <f t="shared" si="194"/>
        <v>909</v>
      </c>
      <c r="O76" s="394">
        <f t="shared" si="194"/>
        <v>220</v>
      </c>
      <c r="P76" s="394">
        <f t="shared" si="194"/>
        <v>167</v>
      </c>
      <c r="Q76" s="394">
        <f t="shared" si="194"/>
        <v>88</v>
      </c>
      <c r="R76" s="394">
        <f t="shared" si="194"/>
        <v>885</v>
      </c>
      <c r="S76" s="394">
        <f t="shared" si="194"/>
        <v>91</v>
      </c>
      <c r="T76" s="394">
        <f t="shared" si="194"/>
        <v>302</v>
      </c>
      <c r="U76" s="394">
        <f t="shared" si="194"/>
        <v>155</v>
      </c>
      <c r="V76" s="394">
        <f t="shared" si="194"/>
        <v>1157</v>
      </c>
      <c r="W76" s="394">
        <f t="shared" si="194"/>
        <v>249</v>
      </c>
      <c r="X76" s="394">
        <f t="shared" si="194"/>
        <v>119</v>
      </c>
      <c r="Y76" s="394">
        <f t="shared" si="194"/>
        <v>124</v>
      </c>
      <c r="Z76" s="394">
        <f t="shared" si="194"/>
        <v>809</v>
      </c>
      <c r="AA76" s="394">
        <f t="shared" si="194"/>
        <v>189</v>
      </c>
      <c r="AB76" s="394">
        <f t="shared" si="194"/>
        <v>63</v>
      </c>
      <c r="AC76" s="394">
        <f t="shared" si="194"/>
        <v>209</v>
      </c>
      <c r="AD76" s="394">
        <f t="shared" si="194"/>
        <v>864</v>
      </c>
      <c r="AE76" s="394">
        <f>AE74-AE75</f>
        <v>154</v>
      </c>
      <c r="AF76" s="394">
        <f>AF74-AF75</f>
        <v>123</v>
      </c>
      <c r="AG76" s="394">
        <f>AG74-AG75</f>
        <v>200</v>
      </c>
    </row>
    <row r="77" spans="1:35" s="51" customFormat="1">
      <c r="A77" s="49"/>
      <c r="B77" s="2" t="s">
        <v>326</v>
      </c>
      <c r="C77" s="52"/>
      <c r="D77" s="49"/>
      <c r="E77" s="50">
        <v>54</v>
      </c>
      <c r="F77" s="50">
        <v>233</v>
      </c>
      <c r="G77" s="50">
        <v>18</v>
      </c>
      <c r="H77" s="395">
        <v>44</v>
      </c>
      <c r="I77" s="395">
        <f>31-8</f>
        <v>23</v>
      </c>
      <c r="J77" s="395">
        <v>249</v>
      </c>
      <c r="K77" s="395">
        <v>49</v>
      </c>
      <c r="L77" s="395">
        <v>30</v>
      </c>
      <c r="M77" s="395">
        <f>70</f>
        <v>70</v>
      </c>
      <c r="N77" s="395">
        <f>254</f>
        <v>254</v>
      </c>
      <c r="O77" s="395">
        <v>64</v>
      </c>
      <c r="P77" s="395">
        <v>49</v>
      </c>
      <c r="Q77" s="395">
        <v>1</v>
      </c>
      <c r="R77" s="395">
        <v>160</v>
      </c>
      <c r="S77" s="395">
        <v>24</v>
      </c>
      <c r="T77" s="395">
        <v>78</v>
      </c>
      <c r="U77" s="395">
        <v>-13</v>
      </c>
      <c r="V77" s="395">
        <v>266</v>
      </c>
      <c r="W77" s="395">
        <v>50</v>
      </c>
      <c r="X77" s="395">
        <v>29</v>
      </c>
      <c r="Y77" s="395">
        <v>34</v>
      </c>
      <c r="Z77" s="395">
        <v>188</v>
      </c>
      <c r="AA77" s="395">
        <v>48</v>
      </c>
      <c r="AB77" s="395">
        <v>18</v>
      </c>
      <c r="AC77" s="395">
        <v>36</v>
      </c>
      <c r="AD77" s="395">
        <v>166</v>
      </c>
      <c r="AE77" s="395">
        <v>38</v>
      </c>
      <c r="AF77" s="395">
        <v>30</v>
      </c>
      <c r="AG77" s="395">
        <v>42</v>
      </c>
      <c r="AI77" s="593"/>
    </row>
    <row r="78" spans="1:35" s="51" customFormat="1">
      <c r="A78" s="53"/>
      <c r="B78" s="54" t="s">
        <v>2</v>
      </c>
      <c r="C78" s="53"/>
      <c r="D78" s="53"/>
      <c r="E78" s="55">
        <f>E76-E77</f>
        <v>92</v>
      </c>
      <c r="F78" s="55">
        <f t="shared" ref="F78" si="195">F76-F77</f>
        <v>429</v>
      </c>
      <c r="G78" s="55">
        <f t="shared" ref="G78" si="196">G76-G77</f>
        <v>111</v>
      </c>
      <c r="H78" s="397">
        <f t="shared" ref="H78" si="197">H76-H77</f>
        <v>112</v>
      </c>
      <c r="I78" s="397">
        <f t="shared" ref="I78" si="198">I76-I77</f>
        <v>55</v>
      </c>
      <c r="J78" s="397">
        <f t="shared" ref="J78" si="199">J76-J77</f>
        <v>632</v>
      </c>
      <c r="K78" s="397">
        <f t="shared" ref="K78" si="200">K76-K77</f>
        <v>116</v>
      </c>
      <c r="L78" s="397">
        <f t="shared" ref="L78" si="201">L76-L77</f>
        <v>72</v>
      </c>
      <c r="M78" s="397">
        <f t="shared" ref="M78" si="202">M76-M77</f>
        <v>148</v>
      </c>
      <c r="N78" s="397">
        <f t="shared" ref="N78" si="203">N76-N77</f>
        <v>655</v>
      </c>
      <c r="O78" s="397">
        <f t="shared" ref="O78:P78" si="204">O76-O77</f>
        <v>156</v>
      </c>
      <c r="P78" s="397">
        <f t="shared" si="204"/>
        <v>118</v>
      </c>
      <c r="Q78" s="397">
        <f t="shared" ref="Q78" si="205">Q76-Q77</f>
        <v>87</v>
      </c>
      <c r="R78" s="397">
        <f t="shared" ref="R78:W78" si="206">R76-R77</f>
        <v>725</v>
      </c>
      <c r="S78" s="397">
        <f t="shared" si="206"/>
        <v>67</v>
      </c>
      <c r="T78" s="397">
        <f t="shared" si="206"/>
        <v>224</v>
      </c>
      <c r="U78" s="397">
        <f t="shared" si="206"/>
        <v>168</v>
      </c>
      <c r="V78" s="397">
        <f t="shared" si="206"/>
        <v>891</v>
      </c>
      <c r="W78" s="397">
        <f t="shared" si="206"/>
        <v>199</v>
      </c>
      <c r="X78" s="397">
        <f t="shared" ref="X78:Y78" si="207">X76-X77</f>
        <v>90</v>
      </c>
      <c r="Y78" s="397">
        <f t="shared" si="207"/>
        <v>90</v>
      </c>
      <c r="Z78" s="397">
        <f t="shared" ref="Z78:AA78" si="208">Z76-Z77</f>
        <v>621</v>
      </c>
      <c r="AA78" s="397">
        <f t="shared" si="208"/>
        <v>141</v>
      </c>
      <c r="AB78" s="397">
        <f t="shared" ref="AB78:AC78" si="209">AB76-AB77</f>
        <v>45</v>
      </c>
      <c r="AC78" s="397">
        <f t="shared" si="209"/>
        <v>173</v>
      </c>
      <c r="AD78" s="397">
        <f t="shared" ref="AD78:AE78" si="210">AD76-AD77</f>
        <v>698</v>
      </c>
      <c r="AE78" s="397">
        <f t="shared" si="210"/>
        <v>116</v>
      </c>
      <c r="AF78" s="397">
        <f t="shared" ref="AF78" si="211">AF76-AF77</f>
        <v>93</v>
      </c>
      <c r="AG78" s="397">
        <f>AG76-AG77</f>
        <v>158</v>
      </c>
    </row>
    <row r="79" spans="1:35" ht="38.25" customHeight="1">
      <c r="A79" s="10"/>
      <c r="B79" s="686" t="s">
        <v>263</v>
      </c>
      <c r="C79" s="686"/>
      <c r="D79" s="686"/>
      <c r="E79" s="587">
        <v>92</v>
      </c>
      <c r="F79" s="587">
        <v>429</v>
      </c>
      <c r="G79" s="587">
        <v>109</v>
      </c>
      <c r="H79" s="587">
        <v>111</v>
      </c>
      <c r="I79" s="587">
        <v>55</v>
      </c>
      <c r="J79" s="587">
        <v>632</v>
      </c>
      <c r="K79" s="587">
        <v>115</v>
      </c>
      <c r="L79" s="587">
        <v>72</v>
      </c>
      <c r="M79" s="587">
        <v>147</v>
      </c>
      <c r="N79" s="587">
        <v>646</v>
      </c>
      <c r="O79" s="587">
        <v>154</v>
      </c>
      <c r="P79" s="587">
        <v>117</v>
      </c>
      <c r="Q79" s="587">
        <v>86</v>
      </c>
      <c r="R79" s="587">
        <v>714</v>
      </c>
      <c r="S79" s="587">
        <v>65</v>
      </c>
      <c r="T79" s="587">
        <v>220</v>
      </c>
      <c r="U79" s="587">
        <v>164</v>
      </c>
      <c r="V79" s="587">
        <v>873</v>
      </c>
      <c r="W79" s="587">
        <v>194</v>
      </c>
      <c r="X79" s="587">
        <v>88</v>
      </c>
      <c r="Y79" s="587">
        <v>88</v>
      </c>
      <c r="Z79" s="587">
        <v>602</v>
      </c>
      <c r="AA79" s="587">
        <v>136</v>
      </c>
      <c r="AB79" s="587">
        <v>44</v>
      </c>
      <c r="AC79" s="587">
        <v>170</v>
      </c>
      <c r="AD79" s="587">
        <v>686</v>
      </c>
      <c r="AE79" s="587">
        <v>113</v>
      </c>
      <c r="AF79" s="587">
        <v>92</v>
      </c>
      <c r="AG79" s="587">
        <v>156</v>
      </c>
      <c r="AH79" s="588"/>
      <c r="AI79" s="588"/>
    </row>
    <row r="80" spans="1:35" ht="20.25" customHeight="1">
      <c r="A80" s="9"/>
      <c r="B80" s="25"/>
      <c r="C80" s="9"/>
      <c r="D80" s="9"/>
      <c r="E80" s="17"/>
      <c r="F80" s="17"/>
      <c r="G80" s="17"/>
      <c r="H80" s="397"/>
      <c r="I80" s="496"/>
      <c r="J80" s="397"/>
      <c r="K80" s="397"/>
      <c r="L80" s="397"/>
      <c r="M80" s="500"/>
      <c r="N80" s="397"/>
      <c r="O80" s="397"/>
      <c r="P80" s="397"/>
      <c r="Q80" s="500"/>
      <c r="R80" s="500"/>
      <c r="S80" s="500"/>
      <c r="T80" s="500"/>
      <c r="U80" s="500"/>
      <c r="V80" s="500"/>
      <c r="W80" s="500"/>
      <c r="X80" s="500"/>
      <c r="Y80" s="500"/>
      <c r="Z80" s="500"/>
      <c r="AA80" s="500"/>
      <c r="AB80" s="500"/>
      <c r="AC80" s="500"/>
      <c r="AD80" s="500"/>
      <c r="AE80" s="500"/>
      <c r="AF80" s="500"/>
      <c r="AG80" s="500"/>
    </row>
    <row r="81" spans="1:36" ht="12.75">
      <c r="A81" s="32"/>
      <c r="B81" s="29" t="s">
        <v>152</v>
      </c>
      <c r="C81" s="29"/>
      <c r="D81" s="29"/>
      <c r="E81" s="33"/>
      <c r="F81" s="33"/>
      <c r="G81" s="33"/>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row>
    <row r="82" spans="1:36" ht="12.75">
      <c r="A82" s="32"/>
      <c r="B82" s="29"/>
      <c r="C82" s="28" t="s">
        <v>34</v>
      </c>
      <c r="D82" s="29"/>
      <c r="E82" s="35">
        <v>7.0000000000000007E-2</v>
      </c>
      <c r="F82" s="35">
        <v>0.32</v>
      </c>
      <c r="G82" s="35">
        <v>0.08</v>
      </c>
      <c r="H82" s="399">
        <v>0.09</v>
      </c>
      <c r="I82" s="399">
        <v>0.04</v>
      </c>
      <c r="J82" s="399">
        <v>0.5</v>
      </c>
      <c r="K82" s="399">
        <v>0.09</v>
      </c>
      <c r="L82" s="399">
        <v>0.06</v>
      </c>
      <c r="M82" s="399">
        <v>0.12</v>
      </c>
      <c r="N82" s="399">
        <v>0.54</v>
      </c>
      <c r="O82" s="399">
        <v>0.13</v>
      </c>
      <c r="P82" s="400">
        <v>0.1</v>
      </c>
      <c r="Q82" s="400">
        <v>7.0000000000000007E-2</v>
      </c>
      <c r="R82" s="400">
        <v>0.63</v>
      </c>
      <c r="S82" s="400">
        <v>0.06</v>
      </c>
      <c r="T82" s="400">
        <v>0.2</v>
      </c>
      <c r="U82" s="400">
        <v>0.15</v>
      </c>
      <c r="V82" s="400">
        <v>0.78</v>
      </c>
      <c r="W82" s="400">
        <v>0.17</v>
      </c>
      <c r="X82" s="400">
        <v>0.08</v>
      </c>
      <c r="Y82" s="400">
        <v>0.08</v>
      </c>
      <c r="Z82" s="400">
        <v>0.81</v>
      </c>
      <c r="AA82" s="400">
        <v>0.19</v>
      </c>
      <c r="AB82" s="400">
        <v>0.06</v>
      </c>
      <c r="AC82" s="400">
        <v>0.24</v>
      </c>
      <c r="AD82" s="400">
        <v>0.95</v>
      </c>
      <c r="AE82" s="400">
        <v>0.16</v>
      </c>
      <c r="AF82" s="400">
        <v>0.13</v>
      </c>
      <c r="AG82" s="400">
        <v>0.21</v>
      </c>
      <c r="AH82" s="483"/>
    </row>
    <row r="83" spans="1:36" ht="12.75">
      <c r="A83" s="32"/>
      <c r="B83" s="29"/>
      <c r="C83" s="28" t="s">
        <v>35</v>
      </c>
      <c r="D83" s="29"/>
      <c r="E83" s="35">
        <v>7.0000000000000007E-2</v>
      </c>
      <c r="F83" s="35">
        <v>0.31</v>
      </c>
      <c r="G83" s="35">
        <v>0.08</v>
      </c>
      <c r="H83" s="399">
        <v>0.08</v>
      </c>
      <c r="I83" s="399">
        <v>0.04</v>
      </c>
      <c r="J83" s="399">
        <v>0.49</v>
      </c>
      <c r="K83" s="399">
        <v>0.09</v>
      </c>
      <c r="L83" s="399">
        <v>0.06</v>
      </c>
      <c r="M83" s="399">
        <v>0.12</v>
      </c>
      <c r="N83" s="399">
        <v>0.53</v>
      </c>
      <c r="O83" s="399">
        <v>0.13</v>
      </c>
      <c r="P83" s="400">
        <v>0.1</v>
      </c>
      <c r="Q83" s="400">
        <v>7.0000000000000007E-2</v>
      </c>
      <c r="R83" s="400">
        <v>0.62</v>
      </c>
      <c r="S83" s="400">
        <v>0.06</v>
      </c>
      <c r="T83" s="400">
        <v>0.2</v>
      </c>
      <c r="U83" s="400">
        <v>0.15</v>
      </c>
      <c r="V83" s="400">
        <v>0.78</v>
      </c>
      <c r="W83" s="400">
        <v>0.17</v>
      </c>
      <c r="X83" s="400">
        <v>0.08</v>
      </c>
      <c r="Y83" s="400">
        <v>0.08</v>
      </c>
      <c r="Z83" s="400">
        <v>0.79</v>
      </c>
      <c r="AA83" s="400">
        <v>0.19</v>
      </c>
      <c r="AB83" s="400">
        <v>0.06</v>
      </c>
      <c r="AC83" s="400">
        <v>0.23</v>
      </c>
      <c r="AD83" s="400">
        <v>0.94</v>
      </c>
      <c r="AE83" s="400">
        <v>0.16</v>
      </c>
      <c r="AF83" s="400">
        <v>0.13</v>
      </c>
      <c r="AG83" s="400">
        <v>0.21</v>
      </c>
      <c r="AH83" s="483"/>
    </row>
    <row r="84" spans="1:36" ht="3" customHeight="1">
      <c r="A84" s="32"/>
      <c r="B84" s="29"/>
      <c r="C84" s="28"/>
      <c r="D84" s="29"/>
      <c r="E84" s="35"/>
      <c r="F84" s="35"/>
      <c r="G84" s="35"/>
      <c r="H84" s="399"/>
      <c r="I84" s="399"/>
      <c r="J84" s="399"/>
      <c r="K84" s="399"/>
      <c r="L84" s="399"/>
      <c r="M84" s="399"/>
      <c r="N84" s="399"/>
      <c r="O84" s="399"/>
      <c r="P84" s="400"/>
      <c r="Q84" s="400"/>
      <c r="R84" s="400"/>
      <c r="S84" s="400"/>
      <c r="T84" s="400"/>
      <c r="U84" s="400"/>
      <c r="V84" s="400"/>
      <c r="W84" s="400"/>
      <c r="X84" s="400"/>
      <c r="Y84" s="400"/>
      <c r="Z84" s="400"/>
      <c r="AA84" s="400"/>
      <c r="AB84" s="400"/>
      <c r="AC84" s="400"/>
      <c r="AD84" s="400"/>
      <c r="AE84" s="400"/>
      <c r="AF84" s="400"/>
      <c r="AG84" s="400"/>
      <c r="AH84" s="483"/>
    </row>
    <row r="85" spans="1:36">
      <c r="A85" s="32"/>
      <c r="B85" s="5" t="s">
        <v>33</v>
      </c>
      <c r="C85" s="32"/>
      <c r="D85" s="29"/>
      <c r="G85" s="386"/>
      <c r="H85" s="402"/>
      <c r="L85" s="402"/>
      <c r="P85" s="403"/>
      <c r="Q85" s="403"/>
      <c r="R85" s="403"/>
      <c r="S85" s="403"/>
      <c r="T85" s="403"/>
      <c r="U85" s="403"/>
      <c r="V85" s="403"/>
      <c r="W85" s="403"/>
      <c r="X85" s="403"/>
      <c r="Y85" s="403"/>
      <c r="Z85" s="403"/>
      <c r="AA85" s="403"/>
      <c r="AB85" s="403"/>
      <c r="AC85" s="403"/>
      <c r="AD85" s="403"/>
      <c r="AE85" s="403"/>
      <c r="AF85" s="403"/>
      <c r="AG85" s="403"/>
      <c r="AJ85" s="483"/>
    </row>
    <row r="86" spans="1:36" ht="12.75">
      <c r="A86" s="32"/>
      <c r="B86" s="29"/>
      <c r="C86" s="18" t="s">
        <v>34</v>
      </c>
      <c r="D86" s="29"/>
      <c r="E86" s="46">
        <v>1271</v>
      </c>
      <c r="F86" s="46">
        <v>1326</v>
      </c>
      <c r="G86" s="46">
        <v>1308</v>
      </c>
      <c r="H86" s="404">
        <v>1289</v>
      </c>
      <c r="I86" s="404">
        <v>1271</v>
      </c>
      <c r="J86" s="404">
        <v>1265</v>
      </c>
      <c r="K86" s="404">
        <v>1248</v>
      </c>
      <c r="L86" s="404">
        <v>1232</v>
      </c>
      <c r="M86" s="404">
        <v>1212</v>
      </c>
      <c r="N86" s="404">
        <v>1198</v>
      </c>
      <c r="O86" s="404">
        <v>1173</v>
      </c>
      <c r="P86" s="404">
        <v>1141</v>
      </c>
      <c r="Q86" s="404">
        <v>1140</v>
      </c>
      <c r="R86" s="404">
        <v>1139</v>
      </c>
      <c r="S86" s="404">
        <v>1120</v>
      </c>
      <c r="T86" s="404">
        <v>1109</v>
      </c>
      <c r="U86" s="404">
        <v>1109</v>
      </c>
      <c r="V86" s="404">
        <v>1111</v>
      </c>
      <c r="W86" s="404">
        <v>1113</v>
      </c>
      <c r="X86" s="404">
        <v>1118</v>
      </c>
      <c r="Y86" s="404">
        <v>1122</v>
      </c>
      <c r="Z86" s="404">
        <v>745</v>
      </c>
      <c r="AA86" s="404">
        <v>709</v>
      </c>
      <c r="AB86" s="404">
        <v>716</v>
      </c>
      <c r="AC86" s="404">
        <v>718</v>
      </c>
      <c r="AD86" s="404">
        <v>720</v>
      </c>
      <c r="AE86" s="404">
        <v>723</v>
      </c>
      <c r="AF86" s="404">
        <v>727</v>
      </c>
      <c r="AG86" s="404">
        <v>730</v>
      </c>
      <c r="AJ86" s="609"/>
    </row>
    <row r="87" spans="1:36" ht="12.75">
      <c r="A87" s="32"/>
      <c r="B87" s="29"/>
      <c r="C87" s="18" t="s">
        <v>35</v>
      </c>
      <c r="D87" s="29"/>
      <c r="E87" s="46">
        <v>1271</v>
      </c>
      <c r="F87" s="46">
        <v>1326</v>
      </c>
      <c r="G87" s="37">
        <v>1359</v>
      </c>
      <c r="H87" s="404">
        <v>1332</v>
      </c>
      <c r="I87" s="404">
        <v>1297</v>
      </c>
      <c r="J87" s="404">
        <v>1265</v>
      </c>
      <c r="K87" s="404">
        <v>1264</v>
      </c>
      <c r="L87" s="404">
        <v>1248</v>
      </c>
      <c r="M87" s="404">
        <v>1227</v>
      </c>
      <c r="N87" s="404">
        <v>1198</v>
      </c>
      <c r="O87" s="404">
        <v>1182</v>
      </c>
      <c r="P87" s="404">
        <v>1150</v>
      </c>
      <c r="Q87" s="404">
        <v>1148</v>
      </c>
      <c r="R87" s="404">
        <v>1147</v>
      </c>
      <c r="S87" s="404">
        <v>1127</v>
      </c>
      <c r="T87" s="404">
        <v>1115</v>
      </c>
      <c r="U87" s="404">
        <v>1114</v>
      </c>
      <c r="V87" s="404">
        <v>1115</v>
      </c>
      <c r="W87" s="404">
        <v>1120</v>
      </c>
      <c r="X87" s="404">
        <v>1127</v>
      </c>
      <c r="Y87" s="404">
        <v>1134</v>
      </c>
      <c r="Z87" s="404">
        <v>757</v>
      </c>
      <c r="AA87" s="404">
        <v>720</v>
      </c>
      <c r="AB87" s="404">
        <v>725</v>
      </c>
      <c r="AC87" s="404">
        <v>728</v>
      </c>
      <c r="AD87" s="404">
        <v>729</v>
      </c>
      <c r="AE87" s="404">
        <v>731</v>
      </c>
      <c r="AF87" s="404">
        <v>735</v>
      </c>
      <c r="AG87" s="404">
        <v>739</v>
      </c>
      <c r="AJ87" s="609"/>
    </row>
    <row r="88" spans="1:36">
      <c r="A88" s="32"/>
      <c r="B88" s="29"/>
      <c r="C88" s="18" t="s">
        <v>286</v>
      </c>
      <c r="D88" s="29"/>
      <c r="E88" s="644">
        <v>0</v>
      </c>
      <c r="F88" s="644">
        <v>0</v>
      </c>
      <c r="G88" s="645">
        <v>10</v>
      </c>
      <c r="H88" s="646">
        <v>10</v>
      </c>
      <c r="I88" s="646">
        <v>10</v>
      </c>
      <c r="J88" s="646">
        <v>11</v>
      </c>
      <c r="K88" s="646">
        <v>11</v>
      </c>
      <c r="L88" s="646">
        <v>10</v>
      </c>
      <c r="M88" s="646">
        <v>11</v>
      </c>
      <c r="N88" s="646">
        <v>15</v>
      </c>
      <c r="O88" s="646">
        <v>17</v>
      </c>
      <c r="P88" s="646">
        <v>17</v>
      </c>
      <c r="Q88" s="646">
        <v>17</v>
      </c>
      <c r="R88" s="646">
        <v>17</v>
      </c>
      <c r="S88" s="646">
        <v>19</v>
      </c>
      <c r="T88" s="646">
        <v>24</v>
      </c>
      <c r="U88" s="646">
        <v>27</v>
      </c>
      <c r="V88" s="646">
        <v>27</v>
      </c>
      <c r="W88" s="646">
        <v>26</v>
      </c>
      <c r="X88" s="646">
        <v>24</v>
      </c>
      <c r="Y88" s="646">
        <v>24</v>
      </c>
      <c r="Z88" s="646">
        <v>23</v>
      </c>
      <c r="AA88" s="646">
        <v>17</v>
      </c>
      <c r="AB88" s="646">
        <v>16</v>
      </c>
      <c r="AC88" s="646">
        <v>14</v>
      </c>
      <c r="AD88" s="646">
        <v>12</v>
      </c>
      <c r="AE88" s="646">
        <v>10</v>
      </c>
      <c r="AF88" s="646">
        <v>9</v>
      </c>
      <c r="AG88" s="646">
        <v>8</v>
      </c>
      <c r="AJ88" s="609"/>
    </row>
    <row r="89" spans="1:36" ht="12.75">
      <c r="A89" s="32"/>
      <c r="B89" s="29"/>
      <c r="C89" s="18" t="s">
        <v>305</v>
      </c>
      <c r="D89" s="29"/>
      <c r="E89" s="46">
        <f>SUM(E87:E88)</f>
        <v>1271</v>
      </c>
      <c r="F89" s="46">
        <f t="shared" ref="F89:AH89" si="212">SUM(F87:F88)</f>
        <v>1326</v>
      </c>
      <c r="G89" s="46">
        <f t="shared" si="212"/>
        <v>1369</v>
      </c>
      <c r="H89" s="46">
        <f t="shared" si="212"/>
        <v>1342</v>
      </c>
      <c r="I89" s="46">
        <f t="shared" si="212"/>
        <v>1307</v>
      </c>
      <c r="J89" s="46">
        <f t="shared" si="212"/>
        <v>1276</v>
      </c>
      <c r="K89" s="46">
        <f t="shared" si="212"/>
        <v>1275</v>
      </c>
      <c r="L89" s="46">
        <f t="shared" si="212"/>
        <v>1258</v>
      </c>
      <c r="M89" s="46">
        <f t="shared" si="212"/>
        <v>1238</v>
      </c>
      <c r="N89" s="46">
        <f t="shared" si="212"/>
        <v>1213</v>
      </c>
      <c r="O89" s="46">
        <f t="shared" si="212"/>
        <v>1199</v>
      </c>
      <c r="P89" s="46">
        <f t="shared" si="212"/>
        <v>1167</v>
      </c>
      <c r="Q89" s="46">
        <f t="shared" si="212"/>
        <v>1165</v>
      </c>
      <c r="R89" s="46">
        <f t="shared" si="212"/>
        <v>1164</v>
      </c>
      <c r="S89" s="46">
        <f t="shared" si="212"/>
        <v>1146</v>
      </c>
      <c r="T89" s="46">
        <f t="shared" si="212"/>
        <v>1139</v>
      </c>
      <c r="U89" s="46">
        <f t="shared" si="212"/>
        <v>1141</v>
      </c>
      <c r="V89" s="46">
        <f t="shared" si="212"/>
        <v>1142</v>
      </c>
      <c r="W89" s="46">
        <f t="shared" si="212"/>
        <v>1146</v>
      </c>
      <c r="X89" s="46">
        <f t="shared" si="212"/>
        <v>1151</v>
      </c>
      <c r="Y89" s="46">
        <f t="shared" si="212"/>
        <v>1158</v>
      </c>
      <c r="Z89" s="46">
        <f t="shared" si="212"/>
        <v>780</v>
      </c>
      <c r="AA89" s="46">
        <f t="shared" si="212"/>
        <v>737</v>
      </c>
      <c r="AB89" s="46">
        <f t="shared" si="212"/>
        <v>741</v>
      </c>
      <c r="AC89" s="46">
        <f t="shared" si="212"/>
        <v>742</v>
      </c>
      <c r="AD89" s="46">
        <f t="shared" ref="AD89:AE89" si="213">SUM(AD87:AD88)</f>
        <v>741</v>
      </c>
      <c r="AE89" s="46">
        <f t="shared" si="213"/>
        <v>741</v>
      </c>
      <c r="AF89" s="46">
        <f t="shared" ref="AF89" si="214">SUM(AF87:AF88)</f>
        <v>744</v>
      </c>
      <c r="AG89" s="46">
        <f>SUM(AG87:AG88)</f>
        <v>747</v>
      </c>
      <c r="AH89" s="46">
        <f t="shared" si="212"/>
        <v>0</v>
      </c>
      <c r="AJ89" s="609"/>
    </row>
    <row r="90" spans="1:36">
      <c r="A90" s="32"/>
      <c r="B90" s="29"/>
      <c r="C90" s="18"/>
      <c r="D90" s="29"/>
      <c r="E90" s="34"/>
      <c r="F90" s="34"/>
      <c r="G90" s="386"/>
      <c r="H90" s="399"/>
      <c r="I90" s="405"/>
      <c r="J90" s="405"/>
      <c r="K90" s="405"/>
      <c r="L90" s="399"/>
      <c r="M90" s="405"/>
      <c r="N90" s="405"/>
      <c r="O90" s="405"/>
      <c r="P90" s="400"/>
      <c r="Q90" s="400"/>
      <c r="R90" s="400"/>
      <c r="S90" s="400"/>
      <c r="T90" s="400"/>
      <c r="U90" s="400"/>
      <c r="V90" s="400"/>
      <c r="W90" s="400"/>
      <c r="X90" s="400"/>
      <c r="Y90" s="400"/>
      <c r="Z90" s="400"/>
      <c r="AA90" s="400"/>
      <c r="AB90" s="400"/>
      <c r="AC90" s="400"/>
      <c r="AD90" s="400"/>
      <c r="AE90" s="400"/>
      <c r="AF90" s="400"/>
      <c r="AG90" s="400"/>
    </row>
    <row r="91" spans="1:36" ht="12.75">
      <c r="A91" s="20" t="s">
        <v>150</v>
      </c>
      <c r="B91" s="29"/>
      <c r="C91" s="18"/>
      <c r="D91" s="29"/>
      <c r="E91" s="34"/>
      <c r="F91" s="34"/>
      <c r="G91" s="18"/>
      <c r="H91" s="405"/>
      <c r="I91" s="405"/>
      <c r="J91" s="405"/>
      <c r="K91" s="405"/>
      <c r="L91" s="405"/>
      <c r="M91" s="405"/>
      <c r="N91" s="405"/>
      <c r="O91" s="405"/>
      <c r="P91" s="406"/>
      <c r="Q91" s="406"/>
      <c r="R91" s="406"/>
      <c r="S91" s="406"/>
      <c r="T91" s="406"/>
      <c r="U91" s="406"/>
      <c r="V91" s="406"/>
      <c r="W91" s="406"/>
      <c r="X91" s="406"/>
      <c r="Y91" s="406"/>
      <c r="Z91" s="406"/>
      <c r="AA91" s="406"/>
      <c r="AB91" s="406"/>
      <c r="AC91" s="406"/>
      <c r="AD91" s="406"/>
      <c r="AE91" s="406"/>
      <c r="AF91" s="406"/>
      <c r="AG91" s="406"/>
    </row>
    <row r="92" spans="1:36" ht="13.5">
      <c r="A92" s="32"/>
      <c r="B92" s="29"/>
      <c r="C92" s="18"/>
      <c r="D92" s="29"/>
      <c r="E92" s="19" t="s">
        <v>216</v>
      </c>
      <c r="F92" s="19" t="str">
        <f t="shared" ref="F92:P92" si="215">F61</f>
        <v>Q4</v>
      </c>
      <c r="G92" s="19" t="str">
        <f t="shared" si="215"/>
        <v>Q1</v>
      </c>
      <c r="H92" s="390" t="str">
        <f t="shared" si="215"/>
        <v>Q2</v>
      </c>
      <c r="I92" s="390" t="str">
        <f t="shared" si="215"/>
        <v>Q3</v>
      </c>
      <c r="J92" s="390" t="str">
        <f t="shared" si="215"/>
        <v>Q4</v>
      </c>
      <c r="K92" s="390" t="str">
        <f t="shared" si="215"/>
        <v>Q1</v>
      </c>
      <c r="L92" s="390" t="str">
        <f t="shared" si="215"/>
        <v>Q2</v>
      </c>
      <c r="M92" s="390" t="str">
        <f t="shared" si="215"/>
        <v>Q3</v>
      </c>
      <c r="N92" s="390" t="str">
        <f t="shared" si="215"/>
        <v>Q4</v>
      </c>
      <c r="O92" s="390" t="str">
        <f t="shared" si="215"/>
        <v>Q1</v>
      </c>
      <c r="P92" s="390" t="str">
        <f t="shared" si="215"/>
        <v>Q2</v>
      </c>
      <c r="Q92" s="390" t="str">
        <f t="shared" ref="Q92:R92" si="216">Q61</f>
        <v>Q3</v>
      </c>
      <c r="R92" s="390" t="str">
        <f t="shared" si="216"/>
        <v>Q4</v>
      </c>
      <c r="S92" s="390" t="str">
        <f t="shared" ref="S92:T92" si="217">S61</f>
        <v>Q1</v>
      </c>
      <c r="T92" s="390" t="str">
        <f t="shared" si="217"/>
        <v>Q2</v>
      </c>
      <c r="U92" s="390" t="str">
        <f t="shared" ref="U92:V92" si="218">U61</f>
        <v>Q3</v>
      </c>
      <c r="V92" s="390" t="str">
        <f t="shared" si="218"/>
        <v>Q4</v>
      </c>
      <c r="W92" s="390" t="str">
        <f t="shared" ref="W92:X92" si="219">W61</f>
        <v>Q1</v>
      </c>
      <c r="X92" s="390" t="str">
        <f t="shared" si="219"/>
        <v>Q2</v>
      </c>
      <c r="Y92" s="390" t="str">
        <f t="shared" ref="Y92:Z92" si="220">Y61</f>
        <v>Q3</v>
      </c>
      <c r="Z92" s="390" t="str">
        <f t="shared" si="220"/>
        <v>Q4</v>
      </c>
      <c r="AA92" s="390" t="str">
        <f t="shared" ref="AA92:AB92" si="221">AA61</f>
        <v>Q1</v>
      </c>
      <c r="AB92" s="390" t="str">
        <f t="shared" si="221"/>
        <v>Q2</v>
      </c>
      <c r="AC92" s="390" t="str">
        <f t="shared" ref="AC92:AD92" si="222">AC61</f>
        <v>Q3</v>
      </c>
      <c r="AD92" s="390" t="str">
        <f t="shared" si="222"/>
        <v>Q4</v>
      </c>
      <c r="AE92" s="390" t="str">
        <f t="shared" ref="AE92:AF92" si="223">AE61</f>
        <v>Q1</v>
      </c>
      <c r="AF92" s="390" t="str">
        <f t="shared" si="223"/>
        <v>Q2</v>
      </c>
      <c r="AG92" s="390" t="str">
        <f t="shared" ref="AG92" si="224">AG61</f>
        <v>Q3</v>
      </c>
    </row>
    <row r="93" spans="1:36" ht="12.75">
      <c r="A93" s="32"/>
      <c r="B93" s="29"/>
      <c r="C93" s="18"/>
      <c r="D93" s="29"/>
      <c r="E93" s="45" t="str">
        <f>E62</f>
        <v>CY08</v>
      </c>
      <c r="F93" s="45" t="str">
        <f t="shared" ref="F93:P93" si="225">F62</f>
        <v>CY08</v>
      </c>
      <c r="G93" s="45" t="str">
        <f t="shared" si="225"/>
        <v>CY09</v>
      </c>
      <c r="H93" s="391" t="str">
        <f t="shared" si="225"/>
        <v>CY09</v>
      </c>
      <c r="I93" s="391" t="str">
        <f t="shared" si="225"/>
        <v>CY09</v>
      </c>
      <c r="J93" s="391" t="str">
        <f t="shared" si="225"/>
        <v>CY09</v>
      </c>
      <c r="K93" s="391" t="str">
        <f t="shared" si="225"/>
        <v>CY10</v>
      </c>
      <c r="L93" s="391" t="str">
        <f t="shared" si="225"/>
        <v>CY10</v>
      </c>
      <c r="M93" s="391" t="str">
        <f t="shared" si="225"/>
        <v>CY10</v>
      </c>
      <c r="N93" s="391" t="str">
        <f t="shared" si="225"/>
        <v>CY10</v>
      </c>
      <c r="O93" s="391" t="str">
        <f t="shared" si="225"/>
        <v>CY11</v>
      </c>
      <c r="P93" s="391" t="str">
        <f t="shared" si="225"/>
        <v>CY11</v>
      </c>
      <c r="Q93" s="391" t="str">
        <f t="shared" ref="Q93:R93" si="226">Q62</f>
        <v>CY11</v>
      </c>
      <c r="R93" s="391" t="str">
        <f t="shared" si="226"/>
        <v>CY11</v>
      </c>
      <c r="S93" s="391" t="str">
        <f t="shared" ref="S93:T93" si="227">S62</f>
        <v>CY12</v>
      </c>
      <c r="T93" s="391" t="str">
        <f t="shared" si="227"/>
        <v>CY12</v>
      </c>
      <c r="U93" s="391" t="str">
        <f t="shared" ref="U93:V93" si="228">U62</f>
        <v>CY12</v>
      </c>
      <c r="V93" s="391" t="str">
        <f t="shared" si="228"/>
        <v>CY12</v>
      </c>
      <c r="W93" s="391" t="str">
        <f t="shared" ref="W93:X93" si="229">W62</f>
        <v>CY13</v>
      </c>
      <c r="X93" s="391" t="str">
        <f t="shared" si="229"/>
        <v>CY13</v>
      </c>
      <c r="Y93" s="391" t="str">
        <f t="shared" ref="Y93:Z93" si="230">Y62</f>
        <v>CY13</v>
      </c>
      <c r="Z93" s="391" t="str">
        <f t="shared" si="230"/>
        <v>CY13</v>
      </c>
      <c r="AA93" s="391" t="str">
        <f t="shared" ref="AA93:AB93" si="231">AA62</f>
        <v>CY14</v>
      </c>
      <c r="AB93" s="391" t="str">
        <f t="shared" si="231"/>
        <v>CY14</v>
      </c>
      <c r="AC93" s="391" t="str">
        <f t="shared" ref="AC93:AD93" si="232">AC62</f>
        <v>CY14</v>
      </c>
      <c r="AD93" s="391" t="str">
        <f t="shared" si="232"/>
        <v>CY14</v>
      </c>
      <c r="AE93" s="391" t="str">
        <f t="shared" ref="AE93:AF93" si="233">AE62</f>
        <v>CY15</v>
      </c>
      <c r="AF93" s="391" t="str">
        <f t="shared" si="233"/>
        <v>CY15</v>
      </c>
      <c r="AG93" s="391" t="str">
        <f t="shared" ref="AG93" si="234">AG62</f>
        <v>CY15</v>
      </c>
    </row>
    <row r="94" spans="1:36" ht="7.5" customHeight="1">
      <c r="A94" s="32"/>
      <c r="B94" s="29"/>
      <c r="C94" s="18"/>
      <c r="D94" s="29"/>
      <c r="E94" s="34"/>
      <c r="F94" s="34"/>
      <c r="G94" s="18"/>
      <c r="H94" s="405"/>
      <c r="I94" s="405"/>
      <c r="J94" s="405"/>
      <c r="K94" s="405"/>
      <c r="L94" s="405"/>
      <c r="M94" s="405"/>
      <c r="N94" s="405"/>
      <c r="O94" s="405"/>
      <c r="P94" s="407"/>
      <c r="Q94" s="407"/>
      <c r="R94" s="407"/>
      <c r="S94" s="407"/>
      <c r="T94" s="407"/>
      <c r="U94" s="407"/>
      <c r="V94" s="407"/>
      <c r="W94" s="407"/>
      <c r="X94" s="407"/>
      <c r="Y94" s="407"/>
      <c r="Z94" s="407"/>
      <c r="AA94" s="407"/>
      <c r="AB94" s="407"/>
      <c r="AC94" s="407"/>
      <c r="AD94" s="407"/>
      <c r="AE94" s="407"/>
      <c r="AF94" s="407"/>
      <c r="AG94" s="407"/>
    </row>
    <row r="95" spans="1:36" ht="15.75" customHeight="1">
      <c r="A95" s="32"/>
      <c r="B95" s="1" t="s">
        <v>203</v>
      </c>
      <c r="C95" s="18"/>
      <c r="D95" s="29"/>
      <c r="E95" s="34"/>
      <c r="F95" s="34"/>
      <c r="G95" s="18"/>
      <c r="H95" s="405"/>
      <c r="I95" s="405"/>
      <c r="J95" s="405"/>
      <c r="K95" s="405"/>
      <c r="L95" s="405"/>
      <c r="M95" s="405"/>
      <c r="N95" s="405"/>
      <c r="O95" s="405"/>
      <c r="P95" s="407"/>
      <c r="Q95" s="407"/>
      <c r="R95" s="407"/>
      <c r="S95" s="407"/>
      <c r="T95" s="407"/>
      <c r="U95" s="407"/>
      <c r="V95" s="407"/>
      <c r="W95" s="407"/>
      <c r="X95" s="407"/>
      <c r="Y95" s="407"/>
      <c r="Z95" s="407"/>
      <c r="AA95" s="407"/>
      <c r="AB95" s="407"/>
      <c r="AC95" s="407"/>
      <c r="AD95" s="407"/>
      <c r="AE95" s="407"/>
      <c r="AF95" s="407"/>
      <c r="AG95" s="407"/>
    </row>
    <row r="96" spans="1:36" ht="12.75">
      <c r="A96" s="7"/>
      <c r="B96" s="2"/>
      <c r="C96" s="2" t="s">
        <v>214</v>
      </c>
      <c r="D96" s="7"/>
      <c r="E96" s="39">
        <f>E66/E$64</f>
        <v>0.37656903765690375</v>
      </c>
      <c r="F96" s="39">
        <f t="shared" ref="F96:O96" si="235">F66/F$64</f>
        <v>0.39820742637644047</v>
      </c>
      <c r="G96" s="39">
        <f t="shared" si="235"/>
        <v>0.32872928176795579</v>
      </c>
      <c r="H96" s="408">
        <f t="shared" si="235"/>
        <v>0.29588014981273408</v>
      </c>
      <c r="I96" s="408">
        <f t="shared" si="235"/>
        <v>0.27019867549668874</v>
      </c>
      <c r="J96" s="408">
        <f t="shared" si="235"/>
        <v>0.34589178356713429</v>
      </c>
      <c r="K96" s="408">
        <f t="shared" si="235"/>
        <v>0.28431372549019607</v>
      </c>
      <c r="L96" s="408">
        <f t="shared" si="235"/>
        <v>0.24304538799414349</v>
      </c>
      <c r="M96" s="408">
        <f t="shared" si="235"/>
        <v>0.22870478413068845</v>
      </c>
      <c r="N96" s="408">
        <f t="shared" si="235"/>
        <v>0.30729984301412872</v>
      </c>
      <c r="O96" s="408">
        <f t="shared" si="235"/>
        <v>0.22119205298013245</v>
      </c>
      <c r="P96" s="408">
        <f t="shared" ref="P96:P100" si="236">P66/P$64</f>
        <v>0.19313304721030042</v>
      </c>
      <c r="Q96" s="408">
        <f t="shared" ref="Q96:R108" si="237">Q66/Q$64</f>
        <v>0.20414673046251994</v>
      </c>
      <c r="R96" s="408">
        <f t="shared" si="237"/>
        <v>0.28654485049833889</v>
      </c>
      <c r="S96" s="408">
        <f t="shared" ref="S96:T108" si="238">S66/S$64</f>
        <v>0.23509369676320271</v>
      </c>
      <c r="T96" s="408">
        <f t="shared" si="238"/>
        <v>0.15939278937381404</v>
      </c>
      <c r="U96" s="408">
        <f t="shared" ref="U96:V108" si="239">U66/U$64</f>
        <v>0.1877496671105193</v>
      </c>
      <c r="V96" s="408">
        <f t="shared" si="239"/>
        <v>0.25780346820809247</v>
      </c>
      <c r="W96" s="408">
        <f t="shared" ref="W96:AB96" si="240">W66/W$64</f>
        <v>0.18034825870646767</v>
      </c>
      <c r="X96" s="408">
        <f t="shared" si="240"/>
        <v>0.16776315789473684</v>
      </c>
      <c r="Y96" s="408">
        <f t="shared" si="240"/>
        <v>0.17047184170471841</v>
      </c>
      <c r="Z96" s="408">
        <f t="shared" si="240"/>
        <v>0.30061619718309857</v>
      </c>
      <c r="AA96" s="408">
        <f t="shared" si="240"/>
        <v>0.16839378238341968</v>
      </c>
      <c r="AB96" s="408">
        <f t="shared" si="240"/>
        <v>0.17933130699088146</v>
      </c>
      <c r="AC96" s="408">
        <f t="shared" ref="AC96:AD96" si="241">AC66/AC$64</f>
        <v>0.20170940170940171</v>
      </c>
      <c r="AD96" s="408">
        <f t="shared" si="241"/>
        <v>0.24582015363759602</v>
      </c>
      <c r="AE96" s="408">
        <f>AE66/AE$64</f>
        <v>0.13655761024182078</v>
      </c>
      <c r="AF96" s="408">
        <f>AF66/AF$64</f>
        <v>0.12779973649538867</v>
      </c>
      <c r="AG96" s="408">
        <f>AG66/AG$64</f>
        <v>0.19423076923076923</v>
      </c>
    </row>
    <row r="97" spans="1:33" ht="12.75">
      <c r="A97" s="7"/>
      <c r="B97" s="2"/>
      <c r="C97" s="2" t="s">
        <v>313</v>
      </c>
      <c r="D97" s="7"/>
      <c r="E97" s="39">
        <f t="shared" ref="E97:O97" si="242">E67/E$64</f>
        <v>5.9972105997210597E-2</v>
      </c>
      <c r="F97" s="39">
        <f t="shared" si="242"/>
        <v>2.2620571916346564E-2</v>
      </c>
      <c r="G97" s="39">
        <f t="shared" si="242"/>
        <v>7.18232044198895E-2</v>
      </c>
      <c r="H97" s="408">
        <f t="shared" si="242"/>
        <v>6.3670411985018729E-2</v>
      </c>
      <c r="I97" s="408">
        <f t="shared" si="242"/>
        <v>7.2847682119205295E-2</v>
      </c>
      <c r="J97" s="408">
        <f t="shared" si="242"/>
        <v>2.1643286573146292E-2</v>
      </c>
      <c r="K97" s="408">
        <f t="shared" si="242"/>
        <v>8.1232492997198882E-2</v>
      </c>
      <c r="L97" s="408">
        <f t="shared" si="242"/>
        <v>8.0527086383601759E-2</v>
      </c>
      <c r="M97" s="408">
        <f t="shared" si="242"/>
        <v>7.4679113185530915E-2</v>
      </c>
      <c r="N97" s="408">
        <f t="shared" si="242"/>
        <v>2.9827315541601257E-2</v>
      </c>
      <c r="O97" s="408">
        <f t="shared" si="242"/>
        <v>8.7417218543046363E-2</v>
      </c>
      <c r="P97" s="408">
        <f t="shared" si="236"/>
        <v>8.869814020028613E-2</v>
      </c>
      <c r="Q97" s="408">
        <f t="shared" si="237"/>
        <v>0.10047846889952153</v>
      </c>
      <c r="R97" s="408">
        <f t="shared" si="237"/>
        <v>2.6993355481727575E-2</v>
      </c>
      <c r="S97" s="408">
        <f t="shared" si="238"/>
        <v>0.11754684838160136</v>
      </c>
      <c r="T97" s="408">
        <f t="shared" si="238"/>
        <v>6.7362428842504748E-2</v>
      </c>
      <c r="U97" s="408">
        <f t="shared" si="239"/>
        <v>8.2556591211717711E-2</v>
      </c>
      <c r="V97" s="408">
        <f t="shared" si="239"/>
        <v>2.3121387283236993E-2</v>
      </c>
      <c r="W97" s="408">
        <f t="shared" ref="W97" si="243">W67/W$64</f>
        <v>7.0895522388059698E-2</v>
      </c>
      <c r="X97" s="408">
        <f t="shared" ref="X97:AC97" si="244">X67/X$64</f>
        <v>8.8815789473684209E-2</v>
      </c>
      <c r="Y97" s="408">
        <f t="shared" si="244"/>
        <v>6.5449010654490103E-2</v>
      </c>
      <c r="Z97" s="408">
        <f t="shared" si="244"/>
        <v>2.2007042253521125E-2</v>
      </c>
      <c r="AA97" s="408">
        <f t="shared" si="244"/>
        <v>7.512953367875648E-2</v>
      </c>
      <c r="AB97" s="408">
        <f t="shared" si="244"/>
        <v>8.5106382978723402E-2</v>
      </c>
      <c r="AC97" s="408">
        <f t="shared" si="244"/>
        <v>4.7863247863247867E-2</v>
      </c>
      <c r="AD97" s="408">
        <f t="shared" ref="AD97:AE97" si="245">AD67/AD$64</f>
        <v>2.7564392227745142E-2</v>
      </c>
      <c r="AE97" s="408">
        <f t="shared" si="245"/>
        <v>7.5391180654338544E-2</v>
      </c>
      <c r="AF97" s="408">
        <f t="shared" ref="AF97:AG108" si="246">AF67/AF$64</f>
        <v>6.9828722002635041E-2</v>
      </c>
      <c r="AG97" s="408">
        <f t="shared" si="246"/>
        <v>5.2884615384615384E-2</v>
      </c>
    </row>
    <row r="98" spans="1:33" ht="12.75">
      <c r="A98" s="7"/>
      <c r="B98" s="2"/>
      <c r="C98" s="2" t="s">
        <v>212</v>
      </c>
      <c r="D98" s="7"/>
      <c r="E98" s="39">
        <f t="shared" ref="E98:O98" si="247">E68/E$64</f>
        <v>3.4867503486750349E-2</v>
      </c>
      <c r="F98" s="39">
        <f t="shared" si="247"/>
        <v>7.0422535211267609E-2</v>
      </c>
      <c r="G98" s="39">
        <f t="shared" si="247"/>
        <v>3.8674033149171269E-2</v>
      </c>
      <c r="H98" s="408">
        <f t="shared" si="247"/>
        <v>4.49438202247191E-2</v>
      </c>
      <c r="I98" s="408">
        <f t="shared" si="247"/>
        <v>9.8013245033112581E-2</v>
      </c>
      <c r="J98" s="408">
        <f t="shared" si="247"/>
        <v>4.2885771543086169E-2</v>
      </c>
      <c r="K98" s="408">
        <f t="shared" si="247"/>
        <v>4.0616246498599441E-2</v>
      </c>
      <c r="L98" s="408">
        <f t="shared" si="247"/>
        <v>7.6134699853587118E-2</v>
      </c>
      <c r="M98" s="408">
        <f t="shared" si="247"/>
        <v>6.1843640606767794E-2</v>
      </c>
      <c r="N98" s="408">
        <f t="shared" si="247"/>
        <v>6.0047095761381473E-2</v>
      </c>
      <c r="O98" s="408">
        <f t="shared" si="247"/>
        <v>1.9867549668874173E-2</v>
      </c>
      <c r="P98" s="408">
        <f t="shared" si="236"/>
        <v>1.7167381974248927E-2</v>
      </c>
      <c r="Q98" s="408">
        <f t="shared" si="237"/>
        <v>2.2328548644338118E-2</v>
      </c>
      <c r="R98" s="408">
        <f t="shared" si="237"/>
        <v>4.9418604651162788E-2</v>
      </c>
      <c r="S98" s="408">
        <f t="shared" si="238"/>
        <v>1.7035775127768313E-2</v>
      </c>
      <c r="T98" s="408">
        <f t="shared" si="238"/>
        <v>5.1233396584440226E-2</v>
      </c>
      <c r="U98" s="408">
        <f t="shared" si="239"/>
        <v>5.459387483355526E-2</v>
      </c>
      <c r="V98" s="408">
        <f t="shared" si="239"/>
        <v>4.4315992292870907E-2</v>
      </c>
      <c r="W98" s="408">
        <f t="shared" ref="W98:X98" si="248">W68/W$64</f>
        <v>2.8606965174129355E-2</v>
      </c>
      <c r="X98" s="408">
        <f t="shared" si="248"/>
        <v>1.4802631578947368E-2</v>
      </c>
      <c r="Y98" s="408">
        <f t="shared" ref="Y98:Z98" si="249">Y68/Y$64</f>
        <v>1.8264840182648401E-2</v>
      </c>
      <c r="Z98" s="408">
        <f t="shared" si="249"/>
        <v>5.6778169014084508E-2</v>
      </c>
      <c r="AA98" s="408">
        <f t="shared" ref="AA98:AB98" si="250">AA68/AA$64</f>
        <v>3.2383419689119168E-2</v>
      </c>
      <c r="AB98" s="408">
        <f t="shared" si="250"/>
        <v>2.7355623100303952E-2</v>
      </c>
      <c r="AC98" s="408">
        <f t="shared" ref="AC98:AD98" si="251">AC68/AC$64</f>
        <v>0.1623931623931624</v>
      </c>
      <c r="AD98" s="408">
        <f t="shared" si="251"/>
        <v>7.7270673294170811E-2</v>
      </c>
      <c r="AE98" s="408">
        <f t="shared" ref="AE98" si="252">AE68/AE$64</f>
        <v>6.2588904694167849E-2</v>
      </c>
      <c r="AF98" s="408">
        <f t="shared" si="246"/>
        <v>4.8748353096179184E-2</v>
      </c>
      <c r="AG98" s="408">
        <f t="shared" si="246"/>
        <v>9.0384615384615383E-2</v>
      </c>
    </row>
    <row r="99" spans="1:33" ht="12.75">
      <c r="A99" s="7"/>
      <c r="B99" s="2"/>
      <c r="C99" s="2" t="s">
        <v>213</v>
      </c>
      <c r="D99" s="7"/>
      <c r="E99" s="39">
        <f t="shared" ref="E99:O99" si="253">E69/E$64</f>
        <v>1.9525801952580194E-2</v>
      </c>
      <c r="F99" s="39">
        <f t="shared" si="253"/>
        <v>3.2010243277848911E-2</v>
      </c>
      <c r="G99" s="39">
        <f t="shared" si="253"/>
        <v>3.8674033149171269E-2</v>
      </c>
      <c r="H99" s="408">
        <f t="shared" si="253"/>
        <v>3.495630461922597E-2</v>
      </c>
      <c r="I99" s="408">
        <f t="shared" si="253"/>
        <v>3.443708609271523E-2</v>
      </c>
      <c r="J99" s="408">
        <f t="shared" si="253"/>
        <v>1.7635270541082163E-2</v>
      </c>
      <c r="K99" s="408">
        <f t="shared" si="253"/>
        <v>2.3809523809523808E-2</v>
      </c>
      <c r="L99" s="408">
        <f t="shared" si="253"/>
        <v>2.6354319180087848E-2</v>
      </c>
      <c r="M99" s="408">
        <f t="shared" si="253"/>
        <v>2.9171528588098017E-2</v>
      </c>
      <c r="N99" s="408">
        <f t="shared" si="253"/>
        <v>1.5698587127158554E-2</v>
      </c>
      <c r="O99" s="408">
        <f t="shared" si="253"/>
        <v>9.2715231788079479E-3</v>
      </c>
      <c r="P99" s="408">
        <f t="shared" si="236"/>
        <v>1.7167381974248927E-2</v>
      </c>
      <c r="Q99" s="408">
        <f t="shared" si="237"/>
        <v>1.1164274322169059E-2</v>
      </c>
      <c r="R99" s="408">
        <f t="shared" si="237"/>
        <v>1.8687707641196014E-2</v>
      </c>
      <c r="S99" s="408">
        <f t="shared" si="238"/>
        <v>5.1107325383304937E-3</v>
      </c>
      <c r="T99" s="408">
        <f t="shared" si="238"/>
        <v>1.7077798861480076E-2</v>
      </c>
      <c r="U99" s="408">
        <f t="shared" si="239"/>
        <v>1.1984021304926764E-2</v>
      </c>
      <c r="V99" s="408">
        <f t="shared" si="239"/>
        <v>1.233140655105973E-2</v>
      </c>
      <c r="W99" s="408">
        <f t="shared" ref="W99:X99" si="254">W69/W$64</f>
        <v>3.9800995024875621E-2</v>
      </c>
      <c r="X99" s="408">
        <f t="shared" si="254"/>
        <v>1.6447368421052631E-2</v>
      </c>
      <c r="Y99" s="408">
        <f t="shared" ref="Y99:Z99" si="255">Y69/Y$64</f>
        <v>3.0441400304414001E-3</v>
      </c>
      <c r="Z99" s="408">
        <f t="shared" si="255"/>
        <v>7.0422535211267607E-3</v>
      </c>
      <c r="AA99" s="408">
        <f t="shared" ref="AA99:AB99" si="256">AA69/AA$64</f>
        <v>0</v>
      </c>
      <c r="AB99" s="408">
        <f t="shared" si="256"/>
        <v>1.6717325227963525E-2</v>
      </c>
      <c r="AC99" s="408">
        <f t="shared" ref="AC99:AD99" si="257">AC69/AC$64</f>
        <v>4.2735042735042739E-3</v>
      </c>
      <c r="AD99" s="408">
        <f t="shared" si="257"/>
        <v>2.2593764121102574E-3</v>
      </c>
      <c r="AE99" s="408">
        <f t="shared" ref="AE99" si="258">AE69/AE$64</f>
        <v>2.8449502133712661E-3</v>
      </c>
      <c r="AF99" s="408">
        <f t="shared" si="246"/>
        <v>2.635046113306983E-3</v>
      </c>
      <c r="AG99" s="408">
        <f t="shared" si="246"/>
        <v>3.8461538461538464E-3</v>
      </c>
    </row>
    <row r="100" spans="1:33" ht="12.75">
      <c r="A100" s="10"/>
      <c r="B100" s="10"/>
      <c r="C100" s="6" t="s">
        <v>47</v>
      </c>
      <c r="D100" s="10"/>
      <c r="E100" s="39">
        <f t="shared" ref="E100:O100" si="259">E70/E$64</f>
        <v>0.14225941422594143</v>
      </c>
      <c r="F100" s="39">
        <f t="shared" si="259"/>
        <v>7.5117370892018781E-2</v>
      </c>
      <c r="G100" s="39">
        <f t="shared" si="259"/>
        <v>0.15331491712707182</v>
      </c>
      <c r="H100" s="408">
        <f t="shared" si="259"/>
        <v>0.14481897627965043</v>
      </c>
      <c r="I100" s="408">
        <f t="shared" si="259"/>
        <v>0.14701986754966886</v>
      </c>
      <c r="J100" s="408">
        <f t="shared" si="259"/>
        <v>0.10140280561122245</v>
      </c>
      <c r="K100" s="408">
        <f t="shared" si="259"/>
        <v>0.18207282913165265</v>
      </c>
      <c r="L100" s="408">
        <f t="shared" si="259"/>
        <v>0.15080527086383602</v>
      </c>
      <c r="M100" s="408">
        <f t="shared" si="259"/>
        <v>0.12718786464410736</v>
      </c>
      <c r="N100" s="408">
        <f t="shared" si="259"/>
        <v>0.10282574568288853</v>
      </c>
      <c r="O100" s="408">
        <f t="shared" si="259"/>
        <v>0.176158940397351</v>
      </c>
      <c r="P100" s="408">
        <f t="shared" si="236"/>
        <v>0.15450643776824036</v>
      </c>
      <c r="Q100" s="408">
        <f t="shared" si="237"/>
        <v>0.19776714513556617</v>
      </c>
      <c r="R100" s="408">
        <f t="shared" si="237"/>
        <v>9.3023255813953487E-2</v>
      </c>
      <c r="S100" s="408">
        <f t="shared" si="238"/>
        <v>0.18739352640545145</v>
      </c>
      <c r="T100" s="408">
        <f t="shared" si="238"/>
        <v>0.13282732447817835</v>
      </c>
      <c r="U100" s="408">
        <f t="shared" si="239"/>
        <v>0.15978695073235685</v>
      </c>
      <c r="V100" s="408">
        <f t="shared" si="239"/>
        <v>8.3236994219653179E-2</v>
      </c>
      <c r="W100" s="408">
        <f t="shared" ref="W100:AB100" si="260">W70/W$64</f>
        <v>0.14676616915422885</v>
      </c>
      <c r="X100" s="408">
        <f t="shared" si="260"/>
        <v>0.19078947368421054</v>
      </c>
      <c r="Y100" s="408">
        <f t="shared" si="260"/>
        <v>0.19939117199391171</v>
      </c>
      <c r="Z100" s="408">
        <f t="shared" si="260"/>
        <v>8.2306338028169015E-2</v>
      </c>
      <c r="AA100" s="408">
        <f t="shared" si="260"/>
        <v>0.17487046632124353</v>
      </c>
      <c r="AB100" s="408">
        <f t="shared" si="260"/>
        <v>0.16565349544072949</v>
      </c>
      <c r="AC100" s="408">
        <f t="shared" ref="AC100:AD100" si="261">AC70/AC$64</f>
        <v>0.1076923076923077</v>
      </c>
      <c r="AD100" s="408">
        <f t="shared" si="261"/>
        <v>8.0885675553547226E-2</v>
      </c>
      <c r="AE100" s="408">
        <f t="shared" ref="AE100" si="262">AE70/AE$64</f>
        <v>0.19630156472261737</v>
      </c>
      <c r="AF100" s="408">
        <f t="shared" si="246"/>
        <v>0.18840579710144928</v>
      </c>
      <c r="AG100" s="408">
        <f t="shared" si="246"/>
        <v>0.14711538461538462</v>
      </c>
    </row>
    <row r="101" spans="1:33" ht="12.75">
      <c r="A101" s="10"/>
      <c r="B101" s="10"/>
      <c r="C101" s="6" t="s">
        <v>48</v>
      </c>
      <c r="D101" s="10"/>
      <c r="E101" s="39">
        <f t="shared" ref="E101:O101" si="263">E71/E$64</f>
        <v>0.12691771269177127</v>
      </c>
      <c r="F101" s="39">
        <f t="shared" si="263"/>
        <v>9.9445155783183956E-2</v>
      </c>
      <c r="G101" s="39">
        <f t="shared" si="263"/>
        <v>0.10773480662983426</v>
      </c>
      <c r="H101" s="408">
        <f t="shared" si="263"/>
        <v>0.14232209737827714</v>
      </c>
      <c r="I101" s="408">
        <f t="shared" si="263"/>
        <v>0.17350993377483442</v>
      </c>
      <c r="J101" s="408">
        <f t="shared" si="263"/>
        <v>8.6573146292585168E-2</v>
      </c>
      <c r="K101" s="408">
        <f t="shared" si="263"/>
        <v>7.5630252100840331E-2</v>
      </c>
      <c r="L101" s="408">
        <f t="shared" si="263"/>
        <v>0.1800878477306003</v>
      </c>
      <c r="M101" s="408">
        <f t="shared" si="263"/>
        <v>0.12602100350058343</v>
      </c>
      <c r="N101" s="408">
        <f t="shared" si="263"/>
        <v>8.7519623233908952E-2</v>
      </c>
      <c r="O101" s="408">
        <f t="shared" si="263"/>
        <v>7.8145695364238404E-2</v>
      </c>
      <c r="P101" s="408">
        <f t="shared" ref="P101" si="264">P71/P$64</f>
        <v>0.13161659513590845</v>
      </c>
      <c r="Q101" s="408">
        <f t="shared" si="237"/>
        <v>0.18022328548644337</v>
      </c>
      <c r="R101" s="408">
        <f t="shared" si="237"/>
        <v>0.11586378737541528</v>
      </c>
      <c r="S101" s="408">
        <f t="shared" si="238"/>
        <v>0.131175468483816</v>
      </c>
      <c r="T101" s="408">
        <f t="shared" si="238"/>
        <v>0.12808349146110057</v>
      </c>
      <c r="U101" s="408">
        <f t="shared" si="239"/>
        <v>0.17177097203728361</v>
      </c>
      <c r="V101" s="408">
        <f t="shared" si="239"/>
        <v>8.8631984585741813E-2</v>
      </c>
      <c r="W101" s="408">
        <f t="shared" ref="W101:X101" si="265">W71/W$64</f>
        <v>0.13059701492537312</v>
      </c>
      <c r="X101" s="408">
        <f t="shared" si="265"/>
        <v>0.1875</v>
      </c>
      <c r="Y101" s="408">
        <f t="shared" ref="Y101:Z101" si="266">Y71/Y$64</f>
        <v>0.21613394216133941</v>
      </c>
      <c r="Z101" s="408">
        <f t="shared" si="266"/>
        <v>0.10431338028169014</v>
      </c>
      <c r="AA101" s="408">
        <f t="shared" ref="AA101:AB101" si="267">AA71/AA$64</f>
        <v>0.13212435233160622</v>
      </c>
      <c r="AB101" s="408">
        <f t="shared" si="267"/>
        <v>0.21124620060790272</v>
      </c>
      <c r="AC101" s="408">
        <f t="shared" ref="AC101:AD101" si="268">AC71/AC$64</f>
        <v>0.18632478632478633</v>
      </c>
      <c r="AD101" s="408">
        <f t="shared" si="268"/>
        <v>0.11070944419340262</v>
      </c>
      <c r="AE101" s="408">
        <f t="shared" ref="AE101" si="269">AE71/AE$64</f>
        <v>0.12802275960170698</v>
      </c>
      <c r="AF101" s="408">
        <f t="shared" si="246"/>
        <v>0.2134387351778656</v>
      </c>
      <c r="AG101" s="408">
        <f t="shared" si="246"/>
        <v>0.17980769230769231</v>
      </c>
    </row>
    <row r="102" spans="1:33">
      <c r="A102" s="10"/>
      <c r="B102" s="10"/>
      <c r="C102" s="6" t="s">
        <v>49</v>
      </c>
      <c r="D102" s="10"/>
      <c r="E102" s="40">
        <f t="shared" ref="E102:O102" si="270">E72/E$64</f>
        <v>6.9735006973500699E-2</v>
      </c>
      <c r="F102" s="40">
        <f t="shared" si="270"/>
        <v>2.7315407597097739E-2</v>
      </c>
      <c r="G102" s="40">
        <f t="shared" si="270"/>
        <v>9.668508287292818E-2</v>
      </c>
      <c r="H102" s="410">
        <f t="shared" si="270"/>
        <v>7.8651685393258425E-2</v>
      </c>
      <c r="I102" s="410">
        <f t="shared" si="270"/>
        <v>0.10463576158940398</v>
      </c>
      <c r="J102" s="410">
        <f t="shared" si="270"/>
        <v>2.965931863727455E-2</v>
      </c>
      <c r="K102" s="410">
        <f t="shared" si="270"/>
        <v>8.1232492997198882E-2</v>
      </c>
      <c r="L102" s="410">
        <f t="shared" si="270"/>
        <v>9.5168374816983897E-2</v>
      </c>
      <c r="M102" s="410">
        <f t="shared" si="270"/>
        <v>0.11435239206534423</v>
      </c>
      <c r="N102" s="410">
        <f t="shared" si="270"/>
        <v>4.3171114599686027E-2</v>
      </c>
      <c r="O102" s="410">
        <f t="shared" si="270"/>
        <v>0.11920529801324503</v>
      </c>
      <c r="P102" s="410">
        <f t="shared" ref="P102" si="271">P72/P$64</f>
        <v>0.16165951359084407</v>
      </c>
      <c r="Q102" s="410">
        <f t="shared" si="237"/>
        <v>0.14832535885167464</v>
      </c>
      <c r="R102" s="410">
        <f t="shared" si="237"/>
        <v>3.9867109634551492E-2</v>
      </c>
      <c r="S102" s="410">
        <f t="shared" si="238"/>
        <v>0.15332197614991483</v>
      </c>
      <c r="T102" s="410">
        <f t="shared" si="238"/>
        <v>0.15939278937381404</v>
      </c>
      <c r="U102" s="410">
        <f t="shared" si="239"/>
        <v>0.12649800266311584</v>
      </c>
      <c r="V102" s="410">
        <f t="shared" si="239"/>
        <v>4.5857418111753374E-2</v>
      </c>
      <c r="W102" s="410">
        <f t="shared" ref="W102:X102" si="272">W72/W$64</f>
        <v>9.5771144278606959E-2</v>
      </c>
      <c r="X102" s="410">
        <f t="shared" si="272"/>
        <v>0.13815789473684212</v>
      </c>
      <c r="Y102" s="410">
        <f t="shared" ref="Y102:Z102" si="273">Y72/Y$64</f>
        <v>0.13242009132420091</v>
      </c>
      <c r="Z102" s="410">
        <f t="shared" si="273"/>
        <v>4.8415492957746477E-2</v>
      </c>
      <c r="AA102" s="410">
        <f t="shared" ref="AA102:AB102" si="274">AA72/AA$64</f>
        <v>0.10621761658031088</v>
      </c>
      <c r="AB102" s="410">
        <f t="shared" si="274"/>
        <v>0.14285714285714285</v>
      </c>
      <c r="AC102" s="410">
        <f t="shared" ref="AC102:AD102" si="275">AC72/AC$64</f>
        <v>6.7521367521367517E-2</v>
      </c>
      <c r="AD102" s="410">
        <f t="shared" si="275"/>
        <v>4.2476276547672845E-2</v>
      </c>
      <c r="AE102" s="410">
        <f t="shared" ref="AE102" si="276">AE72/AE$64</f>
        <v>0.10810810810810811</v>
      </c>
      <c r="AF102" s="410">
        <f t="shared" si="246"/>
        <v>0.12121212121212122</v>
      </c>
      <c r="AG102" s="410">
        <f t="shared" si="246"/>
        <v>9.0384615384615383E-2</v>
      </c>
    </row>
    <row r="103" spans="1:33">
      <c r="A103" s="10"/>
      <c r="B103" s="10"/>
      <c r="C103" s="10"/>
      <c r="D103" s="10" t="s">
        <v>202</v>
      </c>
      <c r="E103" s="40">
        <f t="shared" ref="E103:O103" si="277">E73/E$64</f>
        <v>0.8298465829846583</v>
      </c>
      <c r="F103" s="40">
        <f t="shared" si="277"/>
        <v>0.72513871105420402</v>
      </c>
      <c r="G103" s="40">
        <f t="shared" si="277"/>
        <v>0.83563535911602205</v>
      </c>
      <c r="H103" s="410">
        <f t="shared" si="277"/>
        <v>0.80524344569288386</v>
      </c>
      <c r="I103" s="410">
        <f t="shared" si="277"/>
        <v>0.90066225165562919</v>
      </c>
      <c r="J103" s="410">
        <f t="shared" si="277"/>
        <v>0.64569138276553106</v>
      </c>
      <c r="K103" s="410">
        <f t="shared" si="277"/>
        <v>0.76890756302521013</v>
      </c>
      <c r="L103" s="410">
        <f t="shared" si="277"/>
        <v>0.85212298682284038</v>
      </c>
      <c r="M103" s="410">
        <f t="shared" si="277"/>
        <v>0.76196032672112024</v>
      </c>
      <c r="N103" s="410">
        <f t="shared" si="277"/>
        <v>0.64638932496075352</v>
      </c>
      <c r="O103" s="410">
        <f t="shared" si="277"/>
        <v>0.71125827814569531</v>
      </c>
      <c r="P103" s="410">
        <f t="shared" ref="P103" si="278">P73/P$64</f>
        <v>0.76394849785407726</v>
      </c>
      <c r="Q103" s="410">
        <f t="shared" si="237"/>
        <v>0.86443381180223289</v>
      </c>
      <c r="R103" s="410">
        <f t="shared" si="237"/>
        <v>0.63039867109634551</v>
      </c>
      <c r="S103" s="410">
        <f t="shared" si="238"/>
        <v>0.84667802385008517</v>
      </c>
      <c r="T103" s="410">
        <f t="shared" si="238"/>
        <v>0.71537001897533203</v>
      </c>
      <c r="U103" s="410">
        <f t="shared" si="239"/>
        <v>0.79494007989347537</v>
      </c>
      <c r="V103" s="410">
        <f t="shared" si="239"/>
        <v>0.55529865125240851</v>
      </c>
      <c r="W103" s="410">
        <f t="shared" ref="W103:X103" si="279">W73/W$64</f>
        <v>0.69278606965174128</v>
      </c>
      <c r="X103" s="410">
        <f t="shared" si="279"/>
        <v>0.80427631578947367</v>
      </c>
      <c r="Y103" s="410">
        <f t="shared" ref="Y103:Z103" si="280">Y73/Y$64</f>
        <v>0.80517503805175039</v>
      </c>
      <c r="Z103" s="410">
        <f t="shared" si="280"/>
        <v>0.62147887323943662</v>
      </c>
      <c r="AA103" s="410">
        <f t="shared" ref="AA103:AB103" si="281">AA73/AA$64</f>
        <v>0.68911917098445596</v>
      </c>
      <c r="AB103" s="410">
        <f t="shared" si="281"/>
        <v>0.82826747720364746</v>
      </c>
      <c r="AC103" s="410">
        <f t="shared" ref="AC103:AD103" si="282">AC73/AC$64</f>
        <v>0.77777777777777779</v>
      </c>
      <c r="AD103" s="410">
        <f t="shared" si="282"/>
        <v>0.58698599186624489</v>
      </c>
      <c r="AE103" s="410">
        <f t="shared" ref="AE103" si="283">AE73/AE$64</f>
        <v>0.70981507823613088</v>
      </c>
      <c r="AF103" s="410">
        <f t="shared" si="246"/>
        <v>0.77206851119894593</v>
      </c>
      <c r="AG103" s="410">
        <f t="shared" si="246"/>
        <v>0.75865384615384612</v>
      </c>
    </row>
    <row r="104" spans="1:33" ht="12.75">
      <c r="A104" s="11"/>
      <c r="B104" s="25" t="s">
        <v>1</v>
      </c>
      <c r="C104" s="3"/>
      <c r="D104" s="11"/>
      <c r="E104" s="38">
        <f t="shared" ref="E104:O104" si="284">E74/E$64</f>
        <v>0.1701534170153417</v>
      </c>
      <c r="F104" s="38">
        <f t="shared" si="284"/>
        <v>0.27486128894579598</v>
      </c>
      <c r="G104" s="38">
        <f t="shared" si="284"/>
        <v>0.1643646408839779</v>
      </c>
      <c r="H104" s="411">
        <f t="shared" si="284"/>
        <v>0.19475655430711611</v>
      </c>
      <c r="I104" s="411">
        <f t="shared" si="284"/>
        <v>9.9337748344370855E-2</v>
      </c>
      <c r="J104" s="411">
        <f t="shared" si="284"/>
        <v>0.35430861723446894</v>
      </c>
      <c r="K104" s="411">
        <f t="shared" si="284"/>
        <v>0.23109243697478993</v>
      </c>
      <c r="L104" s="411">
        <f t="shared" si="284"/>
        <v>0.14787701317715959</v>
      </c>
      <c r="M104" s="411">
        <f t="shared" si="284"/>
        <v>0.23803967327887982</v>
      </c>
      <c r="N104" s="411">
        <f t="shared" si="284"/>
        <v>0.35361067503924648</v>
      </c>
      <c r="O104" s="411">
        <f t="shared" si="284"/>
        <v>0.28874172185430463</v>
      </c>
      <c r="P104" s="411">
        <f>P74/P$64</f>
        <v>0.23605150214592274</v>
      </c>
      <c r="Q104" s="411">
        <f t="shared" si="237"/>
        <v>0.13556618819776714</v>
      </c>
      <c r="R104" s="411">
        <f t="shared" si="237"/>
        <v>0.36960132890365449</v>
      </c>
      <c r="S104" s="411">
        <f t="shared" si="238"/>
        <v>0.15332197614991483</v>
      </c>
      <c r="T104" s="411">
        <f t="shared" si="238"/>
        <v>0.28462998102466791</v>
      </c>
      <c r="U104" s="411">
        <f t="shared" si="239"/>
        <v>0.20505992010652463</v>
      </c>
      <c r="V104" s="411">
        <f t="shared" si="239"/>
        <v>0.44470134874759154</v>
      </c>
      <c r="W104" s="411">
        <f t="shared" ref="W104:X104" si="285">W74/W$64</f>
        <v>0.30721393034825872</v>
      </c>
      <c r="X104" s="411">
        <f t="shared" si="285"/>
        <v>0.19572368421052633</v>
      </c>
      <c r="Y104" s="411">
        <f t="shared" ref="Y104:Z104" si="286">Y74/Y$64</f>
        <v>0.19482496194824961</v>
      </c>
      <c r="Z104" s="411">
        <f t="shared" si="286"/>
        <v>0.37852112676056338</v>
      </c>
      <c r="AA104" s="411">
        <f t="shared" ref="AA104:AB104" si="287">AA74/AA$64</f>
        <v>0.31088082901554404</v>
      </c>
      <c r="AB104" s="411">
        <f t="shared" si="287"/>
        <v>0.17173252279635259</v>
      </c>
      <c r="AC104" s="411">
        <f t="shared" ref="AC104:AD104" si="288">AC74/AC$64</f>
        <v>0.22222222222222221</v>
      </c>
      <c r="AD104" s="411">
        <f t="shared" si="288"/>
        <v>0.41301400813375511</v>
      </c>
      <c r="AE104" s="411">
        <f t="shared" ref="AE104" si="289">AE74/AE$64</f>
        <v>0.29018492176386912</v>
      </c>
      <c r="AF104" s="411">
        <f t="shared" si="246"/>
        <v>0.22793148880105402</v>
      </c>
      <c r="AG104" s="411">
        <f t="shared" si="246"/>
        <v>0.24134615384615385</v>
      </c>
    </row>
    <row r="105" spans="1:33">
      <c r="A105" s="12"/>
      <c r="B105" s="663" t="s">
        <v>334</v>
      </c>
      <c r="C105" s="12"/>
      <c r="D105" s="12"/>
      <c r="E105" s="40">
        <f t="shared" ref="E105:O105" si="290">E75/E$64</f>
        <v>-3.3472803347280332E-2</v>
      </c>
      <c r="F105" s="40">
        <f t="shared" si="290"/>
        <v>-7.6824583866837385E-3</v>
      </c>
      <c r="G105" s="40">
        <f t="shared" si="290"/>
        <v>-1.3812154696132596E-2</v>
      </c>
      <c r="H105" s="410">
        <f t="shared" si="290"/>
        <v>0</v>
      </c>
      <c r="I105" s="410">
        <f t="shared" si="290"/>
        <v>-3.9735099337748344E-3</v>
      </c>
      <c r="J105" s="410">
        <f t="shared" si="290"/>
        <v>1.2024048096192384E-3</v>
      </c>
      <c r="K105" s="410">
        <f t="shared" si="290"/>
        <v>0</v>
      </c>
      <c r="L105" s="410">
        <f t="shared" si="290"/>
        <v>-1.4641288433382138E-3</v>
      </c>
      <c r="M105" s="410">
        <f t="shared" si="290"/>
        <v>-1.6336056009334889E-2</v>
      </c>
      <c r="N105" s="410">
        <f t="shared" si="290"/>
        <v>-3.1397174254317113E-3</v>
      </c>
      <c r="O105" s="410">
        <f t="shared" si="290"/>
        <v>-2.6490066225165563E-3</v>
      </c>
      <c r="P105" s="410">
        <f t="shared" ref="P105" si="291">P75/P$64</f>
        <v>-2.8612303290414878E-3</v>
      </c>
      <c r="Q105" s="410">
        <f t="shared" si="237"/>
        <v>-4.7846889952153108E-3</v>
      </c>
      <c r="R105" s="410">
        <f t="shared" si="237"/>
        <v>2.0764119601328905E-3</v>
      </c>
      <c r="S105" s="410">
        <f t="shared" si="238"/>
        <v>-1.7035775127768314E-3</v>
      </c>
      <c r="T105" s="410">
        <f t="shared" si="238"/>
        <v>-1.8975332068311196E-3</v>
      </c>
      <c r="U105" s="410">
        <f t="shared" si="239"/>
        <v>-1.3315579227696406E-3</v>
      </c>
      <c r="V105" s="410">
        <f t="shared" si="239"/>
        <v>-1.1560693641618498E-3</v>
      </c>
      <c r="W105" s="410">
        <f t="shared" ref="W105:X105" si="292">W75/W$64</f>
        <v>-2.4875621890547263E-3</v>
      </c>
      <c r="X105" s="410">
        <f t="shared" si="292"/>
        <v>0</v>
      </c>
      <c r="Y105" s="410">
        <f t="shared" ref="Y105:Z105" si="293">Y75/Y$64</f>
        <v>6.0882800608828003E-3</v>
      </c>
      <c r="Z105" s="410">
        <f t="shared" si="293"/>
        <v>2.2447183098591551E-2</v>
      </c>
      <c r="AA105" s="410">
        <f t="shared" ref="AA105:AB105" si="294">AA75/AA$64</f>
        <v>6.6062176165803108E-2</v>
      </c>
      <c r="AB105" s="410">
        <f t="shared" si="294"/>
        <v>7.598784194528875E-2</v>
      </c>
      <c r="AC105" s="410">
        <f t="shared" ref="AC105:AD105" si="295">AC75/AC$64</f>
        <v>4.3589743589743588E-2</v>
      </c>
      <c r="AD105" s="410">
        <f t="shared" si="295"/>
        <v>2.2593764121102575E-2</v>
      </c>
      <c r="AE105" s="410">
        <f t="shared" ref="AE105" si="296">AE75/AE$64</f>
        <v>7.1123755334281655E-2</v>
      </c>
      <c r="AF105" s="410">
        <f t="shared" si="246"/>
        <v>6.5876152832674575E-2</v>
      </c>
      <c r="AG105" s="410">
        <f t="shared" si="246"/>
        <v>4.9038461538461538E-2</v>
      </c>
    </row>
    <row r="106" spans="1:33" ht="12.75">
      <c r="A106" s="12"/>
      <c r="B106" s="22" t="s">
        <v>325</v>
      </c>
      <c r="C106" s="4"/>
      <c r="D106" s="12"/>
      <c r="E106" s="39">
        <f t="shared" ref="E106:O106" si="297">E76/E$64</f>
        <v>0.20362622036262204</v>
      </c>
      <c r="F106" s="39">
        <f t="shared" si="297"/>
        <v>0.28254374733247972</v>
      </c>
      <c r="G106" s="39">
        <f t="shared" si="297"/>
        <v>0.17817679558011049</v>
      </c>
      <c r="H106" s="408">
        <f t="shared" si="297"/>
        <v>0.19475655430711611</v>
      </c>
      <c r="I106" s="408">
        <f t="shared" si="297"/>
        <v>0.10331125827814569</v>
      </c>
      <c r="J106" s="408">
        <f t="shared" si="297"/>
        <v>0.35310621242484969</v>
      </c>
      <c r="K106" s="408">
        <f t="shared" si="297"/>
        <v>0.23109243697478993</v>
      </c>
      <c r="L106" s="408">
        <f t="shared" si="297"/>
        <v>0.14934114202049781</v>
      </c>
      <c r="M106" s="408">
        <f t="shared" si="297"/>
        <v>0.25437572928821472</v>
      </c>
      <c r="N106" s="408">
        <f t="shared" si="297"/>
        <v>0.35675039246467816</v>
      </c>
      <c r="O106" s="408">
        <f t="shared" si="297"/>
        <v>0.29139072847682118</v>
      </c>
      <c r="P106" s="408">
        <f t="shared" ref="P106" si="298">P76/P$64</f>
        <v>0.23891273247496422</v>
      </c>
      <c r="Q106" s="408">
        <f t="shared" si="237"/>
        <v>0.14035087719298245</v>
      </c>
      <c r="R106" s="408">
        <f t="shared" si="237"/>
        <v>0.36752491694352157</v>
      </c>
      <c r="S106" s="408">
        <f t="shared" si="238"/>
        <v>0.15502555366269166</v>
      </c>
      <c r="T106" s="408">
        <f t="shared" si="238"/>
        <v>0.28652751423149903</v>
      </c>
      <c r="U106" s="408">
        <f t="shared" si="239"/>
        <v>0.20639147802929428</v>
      </c>
      <c r="V106" s="408">
        <f t="shared" si="239"/>
        <v>0.44585741811175339</v>
      </c>
      <c r="W106" s="408">
        <f t="shared" ref="W106:X106" si="299">W76/W$64</f>
        <v>0.30970149253731344</v>
      </c>
      <c r="X106" s="408">
        <f t="shared" si="299"/>
        <v>0.19572368421052633</v>
      </c>
      <c r="Y106" s="408">
        <f t="shared" ref="Y106:Z106" si="300">Y76/Y$64</f>
        <v>0.18873668188736681</v>
      </c>
      <c r="Z106" s="408">
        <f t="shared" si="300"/>
        <v>0.35607394366197181</v>
      </c>
      <c r="AA106" s="408">
        <f t="shared" ref="AA106:AB106" si="301">AA76/AA$64</f>
        <v>0.24481865284974094</v>
      </c>
      <c r="AB106" s="408">
        <f t="shared" si="301"/>
        <v>9.5744680851063829E-2</v>
      </c>
      <c r="AC106" s="408">
        <f t="shared" ref="AC106:AD106" si="302">AC76/AC$64</f>
        <v>0.17863247863247864</v>
      </c>
      <c r="AD106" s="408">
        <f t="shared" si="302"/>
        <v>0.39042024401265252</v>
      </c>
      <c r="AE106" s="408">
        <f t="shared" ref="AE106" si="303">AE76/AE$64</f>
        <v>0.21906116642958748</v>
      </c>
      <c r="AF106" s="408">
        <f t="shared" si="246"/>
        <v>0.16205533596837945</v>
      </c>
      <c r="AG106" s="408">
        <f t="shared" si="246"/>
        <v>0.19230769230769232</v>
      </c>
    </row>
    <row r="107" spans="1:33">
      <c r="A107" s="12"/>
      <c r="B107" s="2" t="s">
        <v>326</v>
      </c>
      <c r="C107" s="4"/>
      <c r="D107" s="12"/>
      <c r="E107" s="40">
        <f t="shared" ref="E107:O107" si="304">E77/E$64</f>
        <v>7.5313807531380755E-2</v>
      </c>
      <c r="F107" s="40">
        <f t="shared" si="304"/>
        <v>9.9445155783183956E-2</v>
      </c>
      <c r="G107" s="40">
        <f t="shared" si="304"/>
        <v>2.4861878453038673E-2</v>
      </c>
      <c r="H107" s="410">
        <f t="shared" si="304"/>
        <v>5.4931335830212237E-2</v>
      </c>
      <c r="I107" s="410">
        <f t="shared" si="304"/>
        <v>3.0463576158940398E-2</v>
      </c>
      <c r="J107" s="410">
        <f t="shared" si="304"/>
        <v>9.9799599198396788E-2</v>
      </c>
      <c r="K107" s="410">
        <f t="shared" si="304"/>
        <v>6.8627450980392163E-2</v>
      </c>
      <c r="L107" s="410">
        <f t="shared" si="304"/>
        <v>4.3923865300146414E-2</v>
      </c>
      <c r="M107" s="410">
        <f t="shared" si="304"/>
        <v>8.168028004667445E-2</v>
      </c>
      <c r="N107" s="410">
        <f t="shared" si="304"/>
        <v>9.968602825745683E-2</v>
      </c>
      <c r="O107" s="410">
        <f t="shared" si="304"/>
        <v>8.4768211920529801E-2</v>
      </c>
      <c r="P107" s="410">
        <f t="shared" ref="P107" si="305">P77/P$64</f>
        <v>7.0100143061516448E-2</v>
      </c>
      <c r="Q107" s="410">
        <f t="shared" si="237"/>
        <v>1.594896331738437E-3</v>
      </c>
      <c r="R107" s="410">
        <f t="shared" si="237"/>
        <v>6.6445182724252497E-2</v>
      </c>
      <c r="S107" s="410">
        <f t="shared" si="238"/>
        <v>4.0885860306643949E-2</v>
      </c>
      <c r="T107" s="410">
        <f t="shared" si="238"/>
        <v>7.4003795066413663E-2</v>
      </c>
      <c r="U107" s="410">
        <f t="shared" si="239"/>
        <v>-1.7310252996005325E-2</v>
      </c>
      <c r="V107" s="410">
        <f t="shared" si="239"/>
        <v>0.102504816955684</v>
      </c>
      <c r="W107" s="410">
        <f t="shared" ref="W107:X107" si="306">W77/W$64</f>
        <v>6.2189054726368161E-2</v>
      </c>
      <c r="X107" s="410">
        <f t="shared" si="306"/>
        <v>4.7697368421052634E-2</v>
      </c>
      <c r="Y107" s="410">
        <f t="shared" ref="Y107:Z107" si="307">Y77/Y$64</f>
        <v>5.1750380517503802E-2</v>
      </c>
      <c r="Z107" s="410">
        <f t="shared" si="307"/>
        <v>8.2746478873239437E-2</v>
      </c>
      <c r="AA107" s="410">
        <f t="shared" ref="AA107:AB107" si="308">AA77/AA$64</f>
        <v>6.2176165803108807E-2</v>
      </c>
      <c r="AB107" s="410">
        <f t="shared" si="308"/>
        <v>2.7355623100303952E-2</v>
      </c>
      <c r="AC107" s="410">
        <f t="shared" ref="AC107:AD107" si="309">AC77/AC$64</f>
        <v>3.0769230769230771E-2</v>
      </c>
      <c r="AD107" s="410">
        <f t="shared" si="309"/>
        <v>7.5011296882060555E-2</v>
      </c>
      <c r="AE107" s="410">
        <f t="shared" ref="AE107" si="310">AE77/AE$64</f>
        <v>5.4054054054054057E-2</v>
      </c>
      <c r="AF107" s="410">
        <f t="shared" si="246"/>
        <v>3.9525691699604744E-2</v>
      </c>
      <c r="AG107" s="410">
        <f t="shared" si="246"/>
        <v>4.0384615384615387E-2</v>
      </c>
    </row>
    <row r="108" spans="1:33">
      <c r="A108" s="12"/>
      <c r="B108" s="25" t="s">
        <v>2</v>
      </c>
      <c r="C108" s="4"/>
      <c r="D108" s="9"/>
      <c r="E108" s="41">
        <f t="shared" ref="E108:P108" si="311">E78/E$64</f>
        <v>0.12831241283124128</v>
      </c>
      <c r="F108" s="41">
        <f t="shared" si="311"/>
        <v>0.18309859154929578</v>
      </c>
      <c r="G108" s="41">
        <f t="shared" si="311"/>
        <v>0.15331491712707182</v>
      </c>
      <c r="H108" s="41">
        <f t="shared" si="311"/>
        <v>0.13982521847690388</v>
      </c>
      <c r="I108" s="41">
        <f t="shared" si="311"/>
        <v>7.2847682119205295E-2</v>
      </c>
      <c r="J108" s="41">
        <f t="shared" si="311"/>
        <v>0.25330661322645293</v>
      </c>
      <c r="K108" s="41">
        <f t="shared" si="311"/>
        <v>0.16246498599439776</v>
      </c>
      <c r="L108" s="412">
        <f t="shared" si="311"/>
        <v>0.10541727672035139</v>
      </c>
      <c r="M108" s="41">
        <f t="shared" si="311"/>
        <v>0.17269544924154026</v>
      </c>
      <c r="N108" s="41">
        <f t="shared" si="311"/>
        <v>0.25706436420722134</v>
      </c>
      <c r="O108" s="41">
        <f t="shared" si="311"/>
        <v>0.20662251655629138</v>
      </c>
      <c r="P108" s="41">
        <f t="shared" si="311"/>
        <v>0.16881258941344779</v>
      </c>
      <c r="Q108" s="41">
        <f t="shared" si="237"/>
        <v>0.13875598086124402</v>
      </c>
      <c r="R108" s="41">
        <f>R78/R$64</f>
        <v>0.30107973421926909</v>
      </c>
      <c r="S108" s="41">
        <f t="shared" si="238"/>
        <v>0.11413969335604771</v>
      </c>
      <c r="T108" s="41">
        <f t="shared" si="238"/>
        <v>0.21252371916508539</v>
      </c>
      <c r="U108" s="41">
        <f t="shared" si="239"/>
        <v>0.22370173102529961</v>
      </c>
      <c r="V108" s="41">
        <f t="shared" si="239"/>
        <v>0.34335260115606936</v>
      </c>
      <c r="W108" s="41">
        <f t="shared" ref="W108:X108" si="312">W78/W$64</f>
        <v>0.24751243781094528</v>
      </c>
      <c r="X108" s="41">
        <f t="shared" si="312"/>
        <v>0.14802631578947367</v>
      </c>
      <c r="Y108" s="41">
        <f t="shared" ref="Y108:Z108" si="313">Y78/Y$64</f>
        <v>0.13698630136986301</v>
      </c>
      <c r="Z108" s="41">
        <f t="shared" si="313"/>
        <v>0.27332746478873238</v>
      </c>
      <c r="AA108" s="41">
        <f t="shared" ref="AA108:AB108" si="314">AA78/AA$64</f>
        <v>0.18264248704663213</v>
      </c>
      <c r="AB108" s="41">
        <f t="shared" si="314"/>
        <v>6.8389057750759874E-2</v>
      </c>
      <c r="AC108" s="41">
        <f t="shared" ref="AC108:AD108" si="315">AC78/AC$64</f>
        <v>0.14786324786324787</v>
      </c>
      <c r="AD108" s="41">
        <f t="shared" si="315"/>
        <v>0.31540894713059198</v>
      </c>
      <c r="AE108" s="41">
        <f t="shared" ref="AE108" si="316">AE78/AE$64</f>
        <v>0.16500711237553342</v>
      </c>
      <c r="AF108" s="41">
        <f t="shared" si="246"/>
        <v>0.1225296442687747</v>
      </c>
      <c r="AG108" s="41">
        <f t="shared" si="246"/>
        <v>0.15192307692307691</v>
      </c>
    </row>
    <row r="109" spans="1:33">
      <c r="A109" s="12"/>
      <c r="B109" s="25"/>
      <c r="C109" s="4"/>
      <c r="D109" s="9"/>
      <c r="E109" s="41"/>
      <c r="F109" s="41"/>
      <c r="G109" s="41"/>
      <c r="H109" s="41"/>
      <c r="I109" s="41"/>
      <c r="J109" s="41"/>
      <c r="K109" s="41"/>
      <c r="L109" s="412"/>
      <c r="M109" s="41"/>
      <c r="N109" s="41"/>
      <c r="O109" s="41"/>
      <c r="P109" s="41"/>
    </row>
    <row r="110" spans="1:33" ht="16.5">
      <c r="A110" s="9"/>
      <c r="B110" s="509" t="s">
        <v>224</v>
      </c>
      <c r="C110" s="9"/>
      <c r="D110" s="9"/>
      <c r="E110" s="41"/>
      <c r="F110" s="41"/>
      <c r="G110" s="41"/>
      <c r="H110" s="412"/>
      <c r="I110" s="412"/>
      <c r="J110" s="412"/>
      <c r="K110" s="412"/>
      <c r="L110" s="412"/>
      <c r="M110" s="412"/>
      <c r="N110" s="412"/>
      <c r="O110" s="412"/>
      <c r="P110" s="412"/>
    </row>
    <row r="112" spans="1:33">
      <c r="A112" s="9"/>
      <c r="B112" s="25"/>
      <c r="C112" s="9"/>
      <c r="D112" s="9"/>
      <c r="E112" s="41"/>
      <c r="F112" s="41"/>
      <c r="G112" s="41"/>
      <c r="H112" s="412"/>
      <c r="I112" s="412"/>
      <c r="J112" s="412"/>
      <c r="K112" s="412"/>
      <c r="L112" s="412"/>
      <c r="M112" s="412"/>
      <c r="N112" s="412"/>
      <c r="O112" s="412"/>
      <c r="P112" s="412"/>
    </row>
  </sheetData>
  <mergeCells count="5">
    <mergeCell ref="A1:AH1"/>
    <mergeCell ref="A2:AH2"/>
    <mergeCell ref="A3:AH3"/>
    <mergeCell ref="B26:D26"/>
    <mergeCell ref="B79:D79"/>
  </mergeCells>
  <conditionalFormatting sqref="B61 C60:C61">
    <cfRule type="cellIs" dxfId="1" priority="1" stopIfTrue="1" operator="equal">
      <formula>"tie to PF Core IS"</formula>
    </cfRule>
  </conditionalFormatting>
  <pageMargins left="0.7" right="0.7" top="0.25" bottom="0.44" header="0.3" footer="0.3"/>
  <pageSetup scale="58" fitToHeight="2" orientation="landscape" r:id="rId1"/>
  <headerFooter>
    <oddFooter>&amp;LActivision Blizzard, Inc.&amp;R&amp;P of &amp; 25</oddFooter>
  </headerFooter>
  <rowBreaks count="1" manualBreakCount="1">
    <brk id="59" max="2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O54"/>
  <sheetViews>
    <sheetView view="pageBreakPreview" zoomScale="70" zoomScaleNormal="100" zoomScaleSheetLayoutView="70" workbookViewId="0"/>
  </sheetViews>
  <sheetFormatPr defaultRowHeight="12"/>
  <cols>
    <col min="1" max="1" width="2" style="539" customWidth="1"/>
    <col min="2" max="2" width="1.42578125" style="539" customWidth="1"/>
    <col min="3" max="3" width="57.140625" style="539" customWidth="1"/>
    <col min="4" max="4" width="5.28515625" style="540" customWidth="1"/>
    <col min="5" max="5" width="9.5703125" style="539" customWidth="1"/>
    <col min="6" max="6" width="9.7109375" style="539" customWidth="1"/>
    <col min="7" max="7" width="12.7109375" style="539" customWidth="1"/>
    <col min="8" max="8" width="9.85546875" style="539" customWidth="1"/>
    <col min="9" max="9" width="8.85546875" style="539" customWidth="1"/>
    <col min="10" max="10" width="11.5703125" style="539" customWidth="1"/>
    <col min="11" max="11" width="10.85546875" style="539" customWidth="1"/>
    <col min="12" max="12" width="12.7109375" style="539" customWidth="1"/>
    <col min="13" max="13" width="12.140625" style="539" customWidth="1"/>
    <col min="14" max="14" width="13" style="539" customWidth="1"/>
    <col min="15" max="15" width="12.28515625" style="539" customWidth="1"/>
    <col min="16" max="16" width="3.28515625" style="539" customWidth="1"/>
    <col min="17" max="257" width="9.140625" style="539"/>
    <col min="258" max="258" width="9.85546875" style="539" customWidth="1"/>
    <col min="259" max="259" width="80.7109375" style="539" customWidth="1"/>
    <col min="260" max="260" width="6.28515625" style="539" customWidth="1"/>
    <col min="261" max="261" width="13.7109375" style="539" customWidth="1"/>
    <col min="262" max="262" width="16.7109375" style="539" customWidth="1"/>
    <col min="263" max="263" width="19.42578125" style="539" customWidth="1"/>
    <col min="264" max="264" width="17" style="539" customWidth="1"/>
    <col min="265" max="265" width="13.7109375" style="539" customWidth="1"/>
    <col min="266" max="266" width="15.7109375" style="539" customWidth="1"/>
    <col min="267" max="267" width="12.140625" style="539" customWidth="1"/>
    <col min="268" max="268" width="17.140625" style="539" customWidth="1"/>
    <col min="269" max="269" width="16" style="539" customWidth="1"/>
    <col min="270" max="270" width="13.7109375" style="539" customWidth="1"/>
    <col min="271" max="271" width="12.28515625" style="539" customWidth="1"/>
    <col min="272" max="272" width="3.28515625" style="539" customWidth="1"/>
    <col min="273" max="513" width="9.140625" style="539"/>
    <col min="514" max="514" width="9.85546875" style="539" customWidth="1"/>
    <col min="515" max="515" width="80.7109375" style="539" customWidth="1"/>
    <col min="516" max="516" width="6.28515625" style="539" customWidth="1"/>
    <col min="517" max="517" width="13.7109375" style="539" customWidth="1"/>
    <col min="518" max="518" width="16.7109375" style="539" customWidth="1"/>
    <col min="519" max="519" width="19.42578125" style="539" customWidth="1"/>
    <col min="520" max="520" width="17" style="539" customWidth="1"/>
    <col min="521" max="521" width="13.7109375" style="539" customWidth="1"/>
    <col min="522" max="522" width="15.7109375" style="539" customWidth="1"/>
    <col min="523" max="523" width="12.140625" style="539" customWidth="1"/>
    <col min="524" max="524" width="17.140625" style="539" customWidth="1"/>
    <col min="525" max="525" width="16" style="539" customWidth="1"/>
    <col min="526" max="526" width="13.7109375" style="539" customWidth="1"/>
    <col min="527" max="527" width="12.28515625" style="539" customWidth="1"/>
    <col min="528" max="528" width="3.28515625" style="539" customWidth="1"/>
    <col min="529" max="769" width="9.140625" style="539"/>
    <col min="770" max="770" width="9.85546875" style="539" customWidth="1"/>
    <col min="771" max="771" width="80.7109375" style="539" customWidth="1"/>
    <col min="772" max="772" width="6.28515625" style="539" customWidth="1"/>
    <col min="773" max="773" width="13.7109375" style="539" customWidth="1"/>
    <col min="774" max="774" width="16.7109375" style="539" customWidth="1"/>
    <col min="775" max="775" width="19.42578125" style="539" customWidth="1"/>
    <col min="776" max="776" width="17" style="539" customWidth="1"/>
    <col min="777" max="777" width="13.7109375" style="539" customWidth="1"/>
    <col min="778" max="778" width="15.7109375" style="539" customWidth="1"/>
    <col min="779" max="779" width="12.140625" style="539" customWidth="1"/>
    <col min="780" max="780" width="17.140625" style="539" customWidth="1"/>
    <col min="781" max="781" width="16" style="539" customWidth="1"/>
    <col min="782" max="782" width="13.7109375" style="539" customWidth="1"/>
    <col min="783" max="783" width="12.28515625" style="539" customWidth="1"/>
    <col min="784" max="784" width="3.28515625" style="539" customWidth="1"/>
    <col min="785" max="1025" width="9.140625" style="539"/>
    <col min="1026" max="1026" width="9.85546875" style="539" customWidth="1"/>
    <col min="1027" max="1027" width="80.7109375" style="539" customWidth="1"/>
    <col min="1028" max="1028" width="6.28515625" style="539" customWidth="1"/>
    <col min="1029" max="1029" width="13.7109375" style="539" customWidth="1"/>
    <col min="1030" max="1030" width="16.7109375" style="539" customWidth="1"/>
    <col min="1031" max="1031" width="19.42578125" style="539" customWidth="1"/>
    <col min="1032" max="1032" width="17" style="539" customWidth="1"/>
    <col min="1033" max="1033" width="13.7109375" style="539" customWidth="1"/>
    <col min="1034" max="1034" width="15.7109375" style="539" customWidth="1"/>
    <col min="1035" max="1035" width="12.140625" style="539" customWidth="1"/>
    <col min="1036" max="1036" width="17.140625" style="539" customWidth="1"/>
    <col min="1037" max="1037" width="16" style="539" customWidth="1"/>
    <col min="1038" max="1038" width="13.7109375" style="539" customWidth="1"/>
    <col min="1039" max="1039" width="12.28515625" style="539" customWidth="1"/>
    <col min="1040" max="1040" width="3.28515625" style="539" customWidth="1"/>
    <col min="1041" max="1281" width="9.140625" style="539"/>
    <col min="1282" max="1282" width="9.85546875" style="539" customWidth="1"/>
    <col min="1283" max="1283" width="80.7109375" style="539" customWidth="1"/>
    <col min="1284" max="1284" width="6.28515625" style="539" customWidth="1"/>
    <col min="1285" max="1285" width="13.7109375" style="539" customWidth="1"/>
    <col min="1286" max="1286" width="16.7109375" style="539" customWidth="1"/>
    <col min="1287" max="1287" width="19.42578125" style="539" customWidth="1"/>
    <col min="1288" max="1288" width="17" style="539" customWidth="1"/>
    <col min="1289" max="1289" width="13.7109375" style="539" customWidth="1"/>
    <col min="1290" max="1290" width="15.7109375" style="539" customWidth="1"/>
    <col min="1291" max="1291" width="12.140625" style="539" customWidth="1"/>
    <col min="1292" max="1292" width="17.140625" style="539" customWidth="1"/>
    <col min="1293" max="1293" width="16" style="539" customWidth="1"/>
    <col min="1294" max="1294" width="13.7109375" style="539" customWidth="1"/>
    <col min="1295" max="1295" width="12.28515625" style="539" customWidth="1"/>
    <col min="1296" max="1296" width="3.28515625" style="539" customWidth="1"/>
    <col min="1297" max="1537" width="9.140625" style="539"/>
    <col min="1538" max="1538" width="9.85546875" style="539" customWidth="1"/>
    <col min="1539" max="1539" width="80.7109375" style="539" customWidth="1"/>
    <col min="1540" max="1540" width="6.28515625" style="539" customWidth="1"/>
    <col min="1541" max="1541" width="13.7109375" style="539" customWidth="1"/>
    <col min="1542" max="1542" width="16.7109375" style="539" customWidth="1"/>
    <col min="1543" max="1543" width="19.42578125" style="539" customWidth="1"/>
    <col min="1544" max="1544" width="17" style="539" customWidth="1"/>
    <col min="1545" max="1545" width="13.7109375" style="539" customWidth="1"/>
    <col min="1546" max="1546" width="15.7109375" style="539" customWidth="1"/>
    <col min="1547" max="1547" width="12.140625" style="539" customWidth="1"/>
    <col min="1548" max="1548" width="17.140625" style="539" customWidth="1"/>
    <col min="1549" max="1549" width="16" style="539" customWidth="1"/>
    <col min="1550" max="1550" width="13.7109375" style="539" customWidth="1"/>
    <col min="1551" max="1551" width="12.28515625" style="539" customWidth="1"/>
    <col min="1552" max="1552" width="3.28515625" style="539" customWidth="1"/>
    <col min="1553" max="1793" width="9.140625" style="539"/>
    <col min="1794" max="1794" width="9.85546875" style="539" customWidth="1"/>
    <col min="1795" max="1795" width="80.7109375" style="539" customWidth="1"/>
    <col min="1796" max="1796" width="6.28515625" style="539" customWidth="1"/>
    <col min="1797" max="1797" width="13.7109375" style="539" customWidth="1"/>
    <col min="1798" max="1798" width="16.7109375" style="539" customWidth="1"/>
    <col min="1799" max="1799" width="19.42578125" style="539" customWidth="1"/>
    <col min="1800" max="1800" width="17" style="539" customWidth="1"/>
    <col min="1801" max="1801" width="13.7109375" style="539" customWidth="1"/>
    <col min="1802" max="1802" width="15.7109375" style="539" customWidth="1"/>
    <col min="1803" max="1803" width="12.140625" style="539" customWidth="1"/>
    <col min="1804" max="1804" width="17.140625" style="539" customWidth="1"/>
    <col min="1805" max="1805" width="16" style="539" customWidth="1"/>
    <col min="1806" max="1806" width="13.7109375" style="539" customWidth="1"/>
    <col min="1807" max="1807" width="12.28515625" style="539" customWidth="1"/>
    <col min="1808" max="1808" width="3.28515625" style="539" customWidth="1"/>
    <col min="1809" max="2049" width="9.140625" style="539"/>
    <col min="2050" max="2050" width="9.85546875" style="539" customWidth="1"/>
    <col min="2051" max="2051" width="80.7109375" style="539" customWidth="1"/>
    <col min="2052" max="2052" width="6.28515625" style="539" customWidth="1"/>
    <col min="2053" max="2053" width="13.7109375" style="539" customWidth="1"/>
    <col min="2054" max="2054" width="16.7109375" style="539" customWidth="1"/>
    <col min="2055" max="2055" width="19.42578125" style="539" customWidth="1"/>
    <col min="2056" max="2056" width="17" style="539" customWidth="1"/>
    <col min="2057" max="2057" width="13.7109375" style="539" customWidth="1"/>
    <col min="2058" max="2058" width="15.7109375" style="539" customWidth="1"/>
    <col min="2059" max="2059" width="12.140625" style="539" customWidth="1"/>
    <col min="2060" max="2060" width="17.140625" style="539" customWidth="1"/>
    <col min="2061" max="2061" width="16" style="539" customWidth="1"/>
    <col min="2062" max="2062" width="13.7109375" style="539" customWidth="1"/>
    <col min="2063" max="2063" width="12.28515625" style="539" customWidth="1"/>
    <col min="2064" max="2064" width="3.28515625" style="539" customWidth="1"/>
    <col min="2065" max="2305" width="9.140625" style="539"/>
    <col min="2306" max="2306" width="9.85546875" style="539" customWidth="1"/>
    <col min="2307" max="2307" width="80.7109375" style="539" customWidth="1"/>
    <col min="2308" max="2308" width="6.28515625" style="539" customWidth="1"/>
    <col min="2309" max="2309" width="13.7109375" style="539" customWidth="1"/>
    <col min="2310" max="2310" width="16.7109375" style="539" customWidth="1"/>
    <col min="2311" max="2311" width="19.42578125" style="539" customWidth="1"/>
    <col min="2312" max="2312" width="17" style="539" customWidth="1"/>
    <col min="2313" max="2313" width="13.7109375" style="539" customWidth="1"/>
    <col min="2314" max="2314" width="15.7109375" style="539" customWidth="1"/>
    <col min="2315" max="2315" width="12.140625" style="539" customWidth="1"/>
    <col min="2316" max="2316" width="17.140625" style="539" customWidth="1"/>
    <col min="2317" max="2317" width="16" style="539" customWidth="1"/>
    <col min="2318" max="2318" width="13.7109375" style="539" customWidth="1"/>
    <col min="2319" max="2319" width="12.28515625" style="539" customWidth="1"/>
    <col min="2320" max="2320" width="3.28515625" style="539" customWidth="1"/>
    <col min="2321" max="2561" width="9.140625" style="539"/>
    <col min="2562" max="2562" width="9.85546875" style="539" customWidth="1"/>
    <col min="2563" max="2563" width="80.7109375" style="539" customWidth="1"/>
    <col min="2564" max="2564" width="6.28515625" style="539" customWidth="1"/>
    <col min="2565" max="2565" width="13.7109375" style="539" customWidth="1"/>
    <col min="2566" max="2566" width="16.7109375" style="539" customWidth="1"/>
    <col min="2567" max="2567" width="19.42578125" style="539" customWidth="1"/>
    <col min="2568" max="2568" width="17" style="539" customWidth="1"/>
    <col min="2569" max="2569" width="13.7109375" style="539" customWidth="1"/>
    <col min="2570" max="2570" width="15.7109375" style="539" customWidth="1"/>
    <col min="2571" max="2571" width="12.140625" style="539" customWidth="1"/>
    <col min="2572" max="2572" width="17.140625" style="539" customWidth="1"/>
    <col min="2573" max="2573" width="16" style="539" customWidth="1"/>
    <col min="2574" max="2574" width="13.7109375" style="539" customWidth="1"/>
    <col min="2575" max="2575" width="12.28515625" style="539" customWidth="1"/>
    <col min="2576" max="2576" width="3.28515625" style="539" customWidth="1"/>
    <col min="2577" max="2817" width="9.140625" style="539"/>
    <col min="2818" max="2818" width="9.85546875" style="539" customWidth="1"/>
    <col min="2819" max="2819" width="80.7109375" style="539" customWidth="1"/>
    <col min="2820" max="2820" width="6.28515625" style="539" customWidth="1"/>
    <col min="2821" max="2821" width="13.7109375" style="539" customWidth="1"/>
    <col min="2822" max="2822" width="16.7109375" style="539" customWidth="1"/>
    <col min="2823" max="2823" width="19.42578125" style="539" customWidth="1"/>
    <col min="2824" max="2824" width="17" style="539" customWidth="1"/>
    <col min="2825" max="2825" width="13.7109375" style="539" customWidth="1"/>
    <col min="2826" max="2826" width="15.7109375" style="539" customWidth="1"/>
    <col min="2827" max="2827" width="12.140625" style="539" customWidth="1"/>
    <col min="2828" max="2828" width="17.140625" style="539" customWidth="1"/>
    <col min="2829" max="2829" width="16" style="539" customWidth="1"/>
    <col min="2830" max="2830" width="13.7109375" style="539" customWidth="1"/>
    <col min="2831" max="2831" width="12.28515625" style="539" customWidth="1"/>
    <col min="2832" max="2832" width="3.28515625" style="539" customWidth="1"/>
    <col min="2833" max="3073" width="9.140625" style="539"/>
    <col min="3074" max="3074" width="9.85546875" style="539" customWidth="1"/>
    <col min="3075" max="3075" width="80.7109375" style="539" customWidth="1"/>
    <col min="3076" max="3076" width="6.28515625" style="539" customWidth="1"/>
    <col min="3077" max="3077" width="13.7109375" style="539" customWidth="1"/>
    <col min="3078" max="3078" width="16.7109375" style="539" customWidth="1"/>
    <col min="3079" max="3079" width="19.42578125" style="539" customWidth="1"/>
    <col min="3080" max="3080" width="17" style="539" customWidth="1"/>
    <col min="3081" max="3081" width="13.7109375" style="539" customWidth="1"/>
    <col min="3082" max="3082" width="15.7109375" style="539" customWidth="1"/>
    <col min="3083" max="3083" width="12.140625" style="539" customWidth="1"/>
    <col min="3084" max="3084" width="17.140625" style="539" customWidth="1"/>
    <col min="3085" max="3085" width="16" style="539" customWidth="1"/>
    <col min="3086" max="3086" width="13.7109375" style="539" customWidth="1"/>
    <col min="3087" max="3087" width="12.28515625" style="539" customWidth="1"/>
    <col min="3088" max="3088" width="3.28515625" style="539" customWidth="1"/>
    <col min="3089" max="3329" width="9.140625" style="539"/>
    <col min="3330" max="3330" width="9.85546875" style="539" customWidth="1"/>
    <col min="3331" max="3331" width="80.7109375" style="539" customWidth="1"/>
    <col min="3332" max="3332" width="6.28515625" style="539" customWidth="1"/>
    <col min="3333" max="3333" width="13.7109375" style="539" customWidth="1"/>
    <col min="3334" max="3334" width="16.7109375" style="539" customWidth="1"/>
    <col min="3335" max="3335" width="19.42578125" style="539" customWidth="1"/>
    <col min="3336" max="3336" width="17" style="539" customWidth="1"/>
    <col min="3337" max="3337" width="13.7109375" style="539" customWidth="1"/>
    <col min="3338" max="3338" width="15.7109375" style="539" customWidth="1"/>
    <col min="3339" max="3339" width="12.140625" style="539" customWidth="1"/>
    <col min="3340" max="3340" width="17.140625" style="539" customWidth="1"/>
    <col min="3341" max="3341" width="16" style="539" customWidth="1"/>
    <col min="3342" max="3342" width="13.7109375" style="539" customWidth="1"/>
    <col min="3343" max="3343" width="12.28515625" style="539" customWidth="1"/>
    <col min="3344" max="3344" width="3.28515625" style="539" customWidth="1"/>
    <col min="3345" max="3585" width="9.140625" style="539"/>
    <col min="3586" max="3586" width="9.85546875" style="539" customWidth="1"/>
    <col min="3587" max="3587" width="80.7109375" style="539" customWidth="1"/>
    <col min="3588" max="3588" width="6.28515625" style="539" customWidth="1"/>
    <col min="3589" max="3589" width="13.7109375" style="539" customWidth="1"/>
    <col min="3590" max="3590" width="16.7109375" style="539" customWidth="1"/>
    <col min="3591" max="3591" width="19.42578125" style="539" customWidth="1"/>
    <col min="3592" max="3592" width="17" style="539" customWidth="1"/>
    <col min="3593" max="3593" width="13.7109375" style="539" customWidth="1"/>
    <col min="3594" max="3594" width="15.7109375" style="539" customWidth="1"/>
    <col min="3595" max="3595" width="12.140625" style="539" customWidth="1"/>
    <col min="3596" max="3596" width="17.140625" style="539" customWidth="1"/>
    <col min="3597" max="3597" width="16" style="539" customWidth="1"/>
    <col min="3598" max="3598" width="13.7109375" style="539" customWidth="1"/>
    <col min="3599" max="3599" width="12.28515625" style="539" customWidth="1"/>
    <col min="3600" max="3600" width="3.28515625" style="539" customWidth="1"/>
    <col min="3601" max="3841" width="9.140625" style="539"/>
    <col min="3842" max="3842" width="9.85546875" style="539" customWidth="1"/>
    <col min="3843" max="3843" width="80.7109375" style="539" customWidth="1"/>
    <col min="3844" max="3844" width="6.28515625" style="539" customWidth="1"/>
    <col min="3845" max="3845" width="13.7109375" style="539" customWidth="1"/>
    <col min="3846" max="3846" width="16.7109375" style="539" customWidth="1"/>
    <col min="3847" max="3847" width="19.42578125" style="539" customWidth="1"/>
    <col min="3848" max="3848" width="17" style="539" customWidth="1"/>
    <col min="3849" max="3849" width="13.7109375" style="539" customWidth="1"/>
    <col min="3850" max="3850" width="15.7109375" style="539" customWidth="1"/>
    <col min="3851" max="3851" width="12.140625" style="539" customWidth="1"/>
    <col min="3852" max="3852" width="17.140625" style="539" customWidth="1"/>
    <col min="3853" max="3853" width="16" style="539" customWidth="1"/>
    <col min="3854" max="3854" width="13.7109375" style="539" customWidth="1"/>
    <col min="3855" max="3855" width="12.28515625" style="539" customWidth="1"/>
    <col min="3856" max="3856" width="3.28515625" style="539" customWidth="1"/>
    <col min="3857" max="4097" width="9.140625" style="539"/>
    <col min="4098" max="4098" width="9.85546875" style="539" customWidth="1"/>
    <col min="4099" max="4099" width="80.7109375" style="539" customWidth="1"/>
    <col min="4100" max="4100" width="6.28515625" style="539" customWidth="1"/>
    <col min="4101" max="4101" width="13.7109375" style="539" customWidth="1"/>
    <col min="4102" max="4102" width="16.7109375" style="539" customWidth="1"/>
    <col min="4103" max="4103" width="19.42578125" style="539" customWidth="1"/>
    <col min="4104" max="4104" width="17" style="539" customWidth="1"/>
    <col min="4105" max="4105" width="13.7109375" style="539" customWidth="1"/>
    <col min="4106" max="4106" width="15.7109375" style="539" customWidth="1"/>
    <col min="4107" max="4107" width="12.140625" style="539" customWidth="1"/>
    <col min="4108" max="4108" width="17.140625" style="539" customWidth="1"/>
    <col min="4109" max="4109" width="16" style="539" customWidth="1"/>
    <col min="4110" max="4110" width="13.7109375" style="539" customWidth="1"/>
    <col min="4111" max="4111" width="12.28515625" style="539" customWidth="1"/>
    <col min="4112" max="4112" width="3.28515625" style="539" customWidth="1"/>
    <col min="4113" max="4353" width="9.140625" style="539"/>
    <col min="4354" max="4354" width="9.85546875" style="539" customWidth="1"/>
    <col min="4355" max="4355" width="80.7109375" style="539" customWidth="1"/>
    <col min="4356" max="4356" width="6.28515625" style="539" customWidth="1"/>
    <col min="4357" max="4357" width="13.7109375" style="539" customWidth="1"/>
    <col min="4358" max="4358" width="16.7109375" style="539" customWidth="1"/>
    <col min="4359" max="4359" width="19.42578125" style="539" customWidth="1"/>
    <col min="4360" max="4360" width="17" style="539" customWidth="1"/>
    <col min="4361" max="4361" width="13.7109375" style="539" customWidth="1"/>
    <col min="4362" max="4362" width="15.7109375" style="539" customWidth="1"/>
    <col min="4363" max="4363" width="12.140625" style="539" customWidth="1"/>
    <col min="4364" max="4364" width="17.140625" style="539" customWidth="1"/>
    <col min="4365" max="4365" width="16" style="539" customWidth="1"/>
    <col min="4366" max="4366" width="13.7109375" style="539" customWidth="1"/>
    <col min="4367" max="4367" width="12.28515625" style="539" customWidth="1"/>
    <col min="4368" max="4368" width="3.28515625" style="539" customWidth="1"/>
    <col min="4369" max="4609" width="9.140625" style="539"/>
    <col min="4610" max="4610" width="9.85546875" style="539" customWidth="1"/>
    <col min="4611" max="4611" width="80.7109375" style="539" customWidth="1"/>
    <col min="4612" max="4612" width="6.28515625" style="539" customWidth="1"/>
    <col min="4613" max="4613" width="13.7109375" style="539" customWidth="1"/>
    <col min="4614" max="4614" width="16.7109375" style="539" customWidth="1"/>
    <col min="4615" max="4615" width="19.42578125" style="539" customWidth="1"/>
    <col min="4616" max="4616" width="17" style="539" customWidth="1"/>
    <col min="4617" max="4617" width="13.7109375" style="539" customWidth="1"/>
    <col min="4618" max="4618" width="15.7109375" style="539" customWidth="1"/>
    <col min="4619" max="4619" width="12.140625" style="539" customWidth="1"/>
    <col min="4620" max="4620" width="17.140625" style="539" customWidth="1"/>
    <col min="4621" max="4621" width="16" style="539" customWidth="1"/>
    <col min="4622" max="4622" width="13.7109375" style="539" customWidth="1"/>
    <col min="4623" max="4623" width="12.28515625" style="539" customWidth="1"/>
    <col min="4624" max="4624" width="3.28515625" style="539" customWidth="1"/>
    <col min="4625" max="4865" width="9.140625" style="539"/>
    <col min="4866" max="4866" width="9.85546875" style="539" customWidth="1"/>
    <col min="4867" max="4867" width="80.7109375" style="539" customWidth="1"/>
    <col min="4868" max="4868" width="6.28515625" style="539" customWidth="1"/>
    <col min="4869" max="4869" width="13.7109375" style="539" customWidth="1"/>
    <col min="4870" max="4870" width="16.7109375" style="539" customWidth="1"/>
    <col min="4871" max="4871" width="19.42578125" style="539" customWidth="1"/>
    <col min="4872" max="4872" width="17" style="539" customWidth="1"/>
    <col min="4873" max="4873" width="13.7109375" style="539" customWidth="1"/>
    <col min="4874" max="4874" width="15.7109375" style="539" customWidth="1"/>
    <col min="4875" max="4875" width="12.140625" style="539" customWidth="1"/>
    <col min="4876" max="4876" width="17.140625" style="539" customWidth="1"/>
    <col min="4877" max="4877" width="16" style="539" customWidth="1"/>
    <col min="4878" max="4878" width="13.7109375" style="539" customWidth="1"/>
    <col min="4879" max="4879" width="12.28515625" style="539" customWidth="1"/>
    <col min="4880" max="4880" width="3.28515625" style="539" customWidth="1"/>
    <col min="4881" max="5121" width="9.140625" style="539"/>
    <col min="5122" max="5122" width="9.85546875" style="539" customWidth="1"/>
    <col min="5123" max="5123" width="80.7109375" style="539" customWidth="1"/>
    <col min="5124" max="5124" width="6.28515625" style="539" customWidth="1"/>
    <col min="5125" max="5125" width="13.7109375" style="539" customWidth="1"/>
    <col min="5126" max="5126" width="16.7109375" style="539" customWidth="1"/>
    <col min="5127" max="5127" width="19.42578125" style="539" customWidth="1"/>
    <col min="5128" max="5128" width="17" style="539" customWidth="1"/>
    <col min="5129" max="5129" width="13.7109375" style="539" customWidth="1"/>
    <col min="5130" max="5130" width="15.7109375" style="539" customWidth="1"/>
    <col min="5131" max="5131" width="12.140625" style="539" customWidth="1"/>
    <col min="5132" max="5132" width="17.140625" style="539" customWidth="1"/>
    <col min="5133" max="5133" width="16" style="539" customWidth="1"/>
    <col min="5134" max="5134" width="13.7109375" style="539" customWidth="1"/>
    <col min="5135" max="5135" width="12.28515625" style="539" customWidth="1"/>
    <col min="5136" max="5136" width="3.28515625" style="539" customWidth="1"/>
    <col min="5137" max="5377" width="9.140625" style="539"/>
    <col min="5378" max="5378" width="9.85546875" style="539" customWidth="1"/>
    <col min="5379" max="5379" width="80.7109375" style="539" customWidth="1"/>
    <col min="5380" max="5380" width="6.28515625" style="539" customWidth="1"/>
    <col min="5381" max="5381" width="13.7109375" style="539" customWidth="1"/>
    <col min="5382" max="5382" width="16.7109375" style="539" customWidth="1"/>
    <col min="5383" max="5383" width="19.42578125" style="539" customWidth="1"/>
    <col min="5384" max="5384" width="17" style="539" customWidth="1"/>
    <col min="5385" max="5385" width="13.7109375" style="539" customWidth="1"/>
    <col min="5386" max="5386" width="15.7109375" style="539" customWidth="1"/>
    <col min="5387" max="5387" width="12.140625" style="539" customWidth="1"/>
    <col min="5388" max="5388" width="17.140625" style="539" customWidth="1"/>
    <col min="5389" max="5389" width="16" style="539" customWidth="1"/>
    <col min="5390" max="5390" width="13.7109375" style="539" customWidth="1"/>
    <col min="5391" max="5391" width="12.28515625" style="539" customWidth="1"/>
    <col min="5392" max="5392" width="3.28515625" style="539" customWidth="1"/>
    <col min="5393" max="5633" width="9.140625" style="539"/>
    <col min="5634" max="5634" width="9.85546875" style="539" customWidth="1"/>
    <col min="5635" max="5635" width="80.7109375" style="539" customWidth="1"/>
    <col min="5636" max="5636" width="6.28515625" style="539" customWidth="1"/>
    <col min="5637" max="5637" width="13.7109375" style="539" customWidth="1"/>
    <col min="5638" max="5638" width="16.7109375" style="539" customWidth="1"/>
    <col min="5639" max="5639" width="19.42578125" style="539" customWidth="1"/>
    <col min="5640" max="5640" width="17" style="539" customWidth="1"/>
    <col min="5641" max="5641" width="13.7109375" style="539" customWidth="1"/>
    <col min="5642" max="5642" width="15.7109375" style="539" customWidth="1"/>
    <col min="5643" max="5643" width="12.140625" style="539" customWidth="1"/>
    <col min="5644" max="5644" width="17.140625" style="539" customWidth="1"/>
    <col min="5645" max="5645" width="16" style="539" customWidth="1"/>
    <col min="5646" max="5646" width="13.7109375" style="539" customWidth="1"/>
    <col min="5647" max="5647" width="12.28515625" style="539" customWidth="1"/>
    <col min="5648" max="5648" width="3.28515625" style="539" customWidth="1"/>
    <col min="5649" max="5889" width="9.140625" style="539"/>
    <col min="5890" max="5890" width="9.85546875" style="539" customWidth="1"/>
    <col min="5891" max="5891" width="80.7109375" style="539" customWidth="1"/>
    <col min="5892" max="5892" width="6.28515625" style="539" customWidth="1"/>
    <col min="5893" max="5893" width="13.7109375" style="539" customWidth="1"/>
    <col min="5894" max="5894" width="16.7109375" style="539" customWidth="1"/>
    <col min="5895" max="5895" width="19.42578125" style="539" customWidth="1"/>
    <col min="5896" max="5896" width="17" style="539" customWidth="1"/>
    <col min="5897" max="5897" width="13.7109375" style="539" customWidth="1"/>
    <col min="5898" max="5898" width="15.7109375" style="539" customWidth="1"/>
    <col min="5899" max="5899" width="12.140625" style="539" customWidth="1"/>
    <col min="5900" max="5900" width="17.140625" style="539" customWidth="1"/>
    <col min="5901" max="5901" width="16" style="539" customWidth="1"/>
    <col min="5902" max="5902" width="13.7109375" style="539" customWidth="1"/>
    <col min="5903" max="5903" width="12.28515625" style="539" customWidth="1"/>
    <col min="5904" max="5904" width="3.28515625" style="539" customWidth="1"/>
    <col min="5905" max="6145" width="9.140625" style="539"/>
    <col min="6146" max="6146" width="9.85546875" style="539" customWidth="1"/>
    <col min="6147" max="6147" width="80.7109375" style="539" customWidth="1"/>
    <col min="6148" max="6148" width="6.28515625" style="539" customWidth="1"/>
    <col min="6149" max="6149" width="13.7109375" style="539" customWidth="1"/>
    <col min="6150" max="6150" width="16.7109375" style="539" customWidth="1"/>
    <col min="6151" max="6151" width="19.42578125" style="539" customWidth="1"/>
    <col min="6152" max="6152" width="17" style="539" customWidth="1"/>
    <col min="6153" max="6153" width="13.7109375" style="539" customWidth="1"/>
    <col min="6154" max="6154" width="15.7109375" style="539" customWidth="1"/>
    <col min="6155" max="6155" width="12.140625" style="539" customWidth="1"/>
    <col min="6156" max="6156" width="17.140625" style="539" customWidth="1"/>
    <col min="6157" max="6157" width="16" style="539" customWidth="1"/>
    <col min="6158" max="6158" width="13.7109375" style="539" customWidth="1"/>
    <col min="6159" max="6159" width="12.28515625" style="539" customWidth="1"/>
    <col min="6160" max="6160" width="3.28515625" style="539" customWidth="1"/>
    <col min="6161" max="6401" width="9.140625" style="539"/>
    <col min="6402" max="6402" width="9.85546875" style="539" customWidth="1"/>
    <col min="6403" max="6403" width="80.7109375" style="539" customWidth="1"/>
    <col min="6404" max="6404" width="6.28515625" style="539" customWidth="1"/>
    <col min="6405" max="6405" width="13.7109375" style="539" customWidth="1"/>
    <col min="6406" max="6406" width="16.7109375" style="539" customWidth="1"/>
    <col min="6407" max="6407" width="19.42578125" style="539" customWidth="1"/>
    <col min="6408" max="6408" width="17" style="539" customWidth="1"/>
    <col min="6409" max="6409" width="13.7109375" style="539" customWidth="1"/>
    <col min="6410" max="6410" width="15.7109375" style="539" customWidth="1"/>
    <col min="6411" max="6411" width="12.140625" style="539" customWidth="1"/>
    <col min="6412" max="6412" width="17.140625" style="539" customWidth="1"/>
    <col min="6413" max="6413" width="16" style="539" customWidth="1"/>
    <col min="6414" max="6414" width="13.7109375" style="539" customWidth="1"/>
    <col min="6415" max="6415" width="12.28515625" style="539" customWidth="1"/>
    <col min="6416" max="6416" width="3.28515625" style="539" customWidth="1"/>
    <col min="6417" max="6657" width="9.140625" style="539"/>
    <col min="6658" max="6658" width="9.85546875" style="539" customWidth="1"/>
    <col min="6659" max="6659" width="80.7109375" style="539" customWidth="1"/>
    <col min="6660" max="6660" width="6.28515625" style="539" customWidth="1"/>
    <col min="6661" max="6661" width="13.7109375" style="539" customWidth="1"/>
    <col min="6662" max="6662" width="16.7109375" style="539" customWidth="1"/>
    <col min="6663" max="6663" width="19.42578125" style="539" customWidth="1"/>
    <col min="6664" max="6664" width="17" style="539" customWidth="1"/>
    <col min="6665" max="6665" width="13.7109375" style="539" customWidth="1"/>
    <col min="6666" max="6666" width="15.7109375" style="539" customWidth="1"/>
    <col min="6667" max="6667" width="12.140625" style="539" customWidth="1"/>
    <col min="6668" max="6668" width="17.140625" style="539" customWidth="1"/>
    <col min="6669" max="6669" width="16" style="539" customWidth="1"/>
    <col min="6670" max="6670" width="13.7109375" style="539" customWidth="1"/>
    <col min="6671" max="6671" width="12.28515625" style="539" customWidth="1"/>
    <col min="6672" max="6672" width="3.28515625" style="539" customWidth="1"/>
    <col min="6673" max="6913" width="9.140625" style="539"/>
    <col min="6914" max="6914" width="9.85546875" style="539" customWidth="1"/>
    <col min="6915" max="6915" width="80.7109375" style="539" customWidth="1"/>
    <col min="6916" max="6916" width="6.28515625" style="539" customWidth="1"/>
    <col min="6917" max="6917" width="13.7109375" style="539" customWidth="1"/>
    <col min="6918" max="6918" width="16.7109375" style="539" customWidth="1"/>
    <col min="6919" max="6919" width="19.42578125" style="539" customWidth="1"/>
    <col min="6920" max="6920" width="17" style="539" customWidth="1"/>
    <col min="6921" max="6921" width="13.7109375" style="539" customWidth="1"/>
    <col min="6922" max="6922" width="15.7109375" style="539" customWidth="1"/>
    <col min="6923" max="6923" width="12.140625" style="539" customWidth="1"/>
    <col min="6924" max="6924" width="17.140625" style="539" customWidth="1"/>
    <col min="6925" max="6925" width="16" style="539" customWidth="1"/>
    <col min="6926" max="6926" width="13.7109375" style="539" customWidth="1"/>
    <col min="6927" max="6927" width="12.28515625" style="539" customWidth="1"/>
    <col min="6928" max="6928" width="3.28515625" style="539" customWidth="1"/>
    <col min="6929" max="7169" width="9.140625" style="539"/>
    <col min="7170" max="7170" width="9.85546875" style="539" customWidth="1"/>
    <col min="7171" max="7171" width="80.7109375" style="539" customWidth="1"/>
    <col min="7172" max="7172" width="6.28515625" style="539" customWidth="1"/>
    <col min="7173" max="7173" width="13.7109375" style="539" customWidth="1"/>
    <col min="7174" max="7174" width="16.7109375" style="539" customWidth="1"/>
    <col min="7175" max="7175" width="19.42578125" style="539" customWidth="1"/>
    <col min="7176" max="7176" width="17" style="539" customWidth="1"/>
    <col min="7177" max="7177" width="13.7109375" style="539" customWidth="1"/>
    <col min="7178" max="7178" width="15.7109375" style="539" customWidth="1"/>
    <col min="7179" max="7179" width="12.140625" style="539" customWidth="1"/>
    <col min="7180" max="7180" width="17.140625" style="539" customWidth="1"/>
    <col min="7181" max="7181" width="16" style="539" customWidth="1"/>
    <col min="7182" max="7182" width="13.7109375" style="539" customWidth="1"/>
    <col min="7183" max="7183" width="12.28515625" style="539" customWidth="1"/>
    <col min="7184" max="7184" width="3.28515625" style="539" customWidth="1"/>
    <col min="7185" max="7425" width="9.140625" style="539"/>
    <col min="7426" max="7426" width="9.85546875" style="539" customWidth="1"/>
    <col min="7427" max="7427" width="80.7109375" style="539" customWidth="1"/>
    <col min="7428" max="7428" width="6.28515625" style="539" customWidth="1"/>
    <col min="7429" max="7429" width="13.7109375" style="539" customWidth="1"/>
    <col min="7430" max="7430" width="16.7109375" style="539" customWidth="1"/>
    <col min="7431" max="7431" width="19.42578125" style="539" customWidth="1"/>
    <col min="7432" max="7432" width="17" style="539" customWidth="1"/>
    <col min="7433" max="7433" width="13.7109375" style="539" customWidth="1"/>
    <col min="7434" max="7434" width="15.7109375" style="539" customWidth="1"/>
    <col min="7435" max="7435" width="12.140625" style="539" customWidth="1"/>
    <col min="7436" max="7436" width="17.140625" style="539" customWidth="1"/>
    <col min="7437" max="7437" width="16" style="539" customWidth="1"/>
    <col min="7438" max="7438" width="13.7109375" style="539" customWidth="1"/>
    <col min="7439" max="7439" width="12.28515625" style="539" customWidth="1"/>
    <col min="7440" max="7440" width="3.28515625" style="539" customWidth="1"/>
    <col min="7441" max="7681" width="9.140625" style="539"/>
    <col min="7682" max="7682" width="9.85546875" style="539" customWidth="1"/>
    <col min="7683" max="7683" width="80.7109375" style="539" customWidth="1"/>
    <col min="7684" max="7684" width="6.28515625" style="539" customWidth="1"/>
    <col min="7685" max="7685" width="13.7109375" style="539" customWidth="1"/>
    <col min="7686" max="7686" width="16.7109375" style="539" customWidth="1"/>
    <col min="7687" max="7687" width="19.42578125" style="539" customWidth="1"/>
    <col min="7688" max="7688" width="17" style="539" customWidth="1"/>
    <col min="7689" max="7689" width="13.7109375" style="539" customWidth="1"/>
    <col min="7690" max="7690" width="15.7109375" style="539" customWidth="1"/>
    <col min="7691" max="7691" width="12.140625" style="539" customWidth="1"/>
    <col min="7692" max="7692" width="17.140625" style="539" customWidth="1"/>
    <col min="7693" max="7693" width="16" style="539" customWidth="1"/>
    <col min="7694" max="7694" width="13.7109375" style="539" customWidth="1"/>
    <col min="7695" max="7695" width="12.28515625" style="539" customWidth="1"/>
    <col min="7696" max="7696" width="3.28515625" style="539" customWidth="1"/>
    <col min="7697" max="7937" width="9.140625" style="539"/>
    <col min="7938" max="7938" width="9.85546875" style="539" customWidth="1"/>
    <col min="7939" max="7939" width="80.7109375" style="539" customWidth="1"/>
    <col min="7940" max="7940" width="6.28515625" style="539" customWidth="1"/>
    <col min="7941" max="7941" width="13.7109375" style="539" customWidth="1"/>
    <col min="7942" max="7942" width="16.7109375" style="539" customWidth="1"/>
    <col min="7943" max="7943" width="19.42578125" style="539" customWidth="1"/>
    <col min="7944" max="7944" width="17" style="539" customWidth="1"/>
    <col min="7945" max="7945" width="13.7109375" style="539" customWidth="1"/>
    <col min="7946" max="7946" width="15.7109375" style="539" customWidth="1"/>
    <col min="7947" max="7947" width="12.140625" style="539" customWidth="1"/>
    <col min="7948" max="7948" width="17.140625" style="539" customWidth="1"/>
    <col min="7949" max="7949" width="16" style="539" customWidth="1"/>
    <col min="7950" max="7950" width="13.7109375" style="539" customWidth="1"/>
    <col min="7951" max="7951" width="12.28515625" style="539" customWidth="1"/>
    <col min="7952" max="7952" width="3.28515625" style="539" customWidth="1"/>
    <col min="7953" max="8193" width="9.140625" style="539"/>
    <col min="8194" max="8194" width="9.85546875" style="539" customWidth="1"/>
    <col min="8195" max="8195" width="80.7109375" style="539" customWidth="1"/>
    <col min="8196" max="8196" width="6.28515625" style="539" customWidth="1"/>
    <col min="8197" max="8197" width="13.7109375" style="539" customWidth="1"/>
    <col min="8198" max="8198" width="16.7109375" style="539" customWidth="1"/>
    <col min="8199" max="8199" width="19.42578125" style="539" customWidth="1"/>
    <col min="8200" max="8200" width="17" style="539" customWidth="1"/>
    <col min="8201" max="8201" width="13.7109375" style="539" customWidth="1"/>
    <col min="8202" max="8202" width="15.7109375" style="539" customWidth="1"/>
    <col min="8203" max="8203" width="12.140625" style="539" customWidth="1"/>
    <col min="8204" max="8204" width="17.140625" style="539" customWidth="1"/>
    <col min="8205" max="8205" width="16" style="539" customWidth="1"/>
    <col min="8206" max="8206" width="13.7109375" style="539" customWidth="1"/>
    <col min="8207" max="8207" width="12.28515625" style="539" customWidth="1"/>
    <col min="8208" max="8208" width="3.28515625" style="539" customWidth="1"/>
    <col min="8209" max="8449" width="9.140625" style="539"/>
    <col min="8450" max="8450" width="9.85546875" style="539" customWidth="1"/>
    <col min="8451" max="8451" width="80.7109375" style="539" customWidth="1"/>
    <col min="8452" max="8452" width="6.28515625" style="539" customWidth="1"/>
    <col min="8453" max="8453" width="13.7109375" style="539" customWidth="1"/>
    <col min="8454" max="8454" width="16.7109375" style="539" customWidth="1"/>
    <col min="8455" max="8455" width="19.42578125" style="539" customWidth="1"/>
    <col min="8456" max="8456" width="17" style="539" customWidth="1"/>
    <col min="8457" max="8457" width="13.7109375" style="539" customWidth="1"/>
    <col min="8458" max="8458" width="15.7109375" style="539" customWidth="1"/>
    <col min="8459" max="8459" width="12.140625" style="539" customWidth="1"/>
    <col min="8460" max="8460" width="17.140625" style="539" customWidth="1"/>
    <col min="8461" max="8461" width="16" style="539" customWidth="1"/>
    <col min="8462" max="8462" width="13.7109375" style="539" customWidth="1"/>
    <col min="8463" max="8463" width="12.28515625" style="539" customWidth="1"/>
    <col min="8464" max="8464" width="3.28515625" style="539" customWidth="1"/>
    <col min="8465" max="8705" width="9.140625" style="539"/>
    <col min="8706" max="8706" width="9.85546875" style="539" customWidth="1"/>
    <col min="8707" max="8707" width="80.7109375" style="539" customWidth="1"/>
    <col min="8708" max="8708" width="6.28515625" style="539" customWidth="1"/>
    <col min="8709" max="8709" width="13.7109375" style="539" customWidth="1"/>
    <col min="8710" max="8710" width="16.7109375" style="539" customWidth="1"/>
    <col min="8711" max="8711" width="19.42578125" style="539" customWidth="1"/>
    <col min="8712" max="8712" width="17" style="539" customWidth="1"/>
    <col min="8713" max="8713" width="13.7109375" style="539" customWidth="1"/>
    <col min="8714" max="8714" width="15.7109375" style="539" customWidth="1"/>
    <col min="8715" max="8715" width="12.140625" style="539" customWidth="1"/>
    <col min="8716" max="8716" width="17.140625" style="539" customWidth="1"/>
    <col min="8717" max="8717" width="16" style="539" customWidth="1"/>
    <col min="8718" max="8718" width="13.7109375" style="539" customWidth="1"/>
    <col min="8719" max="8719" width="12.28515625" style="539" customWidth="1"/>
    <col min="8720" max="8720" width="3.28515625" style="539" customWidth="1"/>
    <col min="8721" max="8961" width="9.140625" style="539"/>
    <col min="8962" max="8962" width="9.85546875" style="539" customWidth="1"/>
    <col min="8963" max="8963" width="80.7109375" style="539" customWidth="1"/>
    <col min="8964" max="8964" width="6.28515625" style="539" customWidth="1"/>
    <col min="8965" max="8965" width="13.7109375" style="539" customWidth="1"/>
    <col min="8966" max="8966" width="16.7109375" style="539" customWidth="1"/>
    <col min="8967" max="8967" width="19.42578125" style="539" customWidth="1"/>
    <col min="8968" max="8968" width="17" style="539" customWidth="1"/>
    <col min="8969" max="8969" width="13.7109375" style="539" customWidth="1"/>
    <col min="8970" max="8970" width="15.7109375" style="539" customWidth="1"/>
    <col min="8971" max="8971" width="12.140625" style="539" customWidth="1"/>
    <col min="8972" max="8972" width="17.140625" style="539" customWidth="1"/>
    <col min="8973" max="8973" width="16" style="539" customWidth="1"/>
    <col min="8974" max="8974" width="13.7109375" style="539" customWidth="1"/>
    <col min="8975" max="8975" width="12.28515625" style="539" customWidth="1"/>
    <col min="8976" max="8976" width="3.28515625" style="539" customWidth="1"/>
    <col min="8977" max="9217" width="9.140625" style="539"/>
    <col min="9218" max="9218" width="9.85546875" style="539" customWidth="1"/>
    <col min="9219" max="9219" width="80.7109375" style="539" customWidth="1"/>
    <col min="9220" max="9220" width="6.28515625" style="539" customWidth="1"/>
    <col min="9221" max="9221" width="13.7109375" style="539" customWidth="1"/>
    <col min="9222" max="9222" width="16.7109375" style="539" customWidth="1"/>
    <col min="9223" max="9223" width="19.42578125" style="539" customWidth="1"/>
    <col min="9224" max="9224" width="17" style="539" customWidth="1"/>
    <col min="9225" max="9225" width="13.7109375" style="539" customWidth="1"/>
    <col min="9226" max="9226" width="15.7109375" style="539" customWidth="1"/>
    <col min="9227" max="9227" width="12.140625" style="539" customWidth="1"/>
    <col min="9228" max="9228" width="17.140625" style="539" customWidth="1"/>
    <col min="9229" max="9229" width="16" style="539" customWidth="1"/>
    <col min="9230" max="9230" width="13.7109375" style="539" customWidth="1"/>
    <col min="9231" max="9231" width="12.28515625" style="539" customWidth="1"/>
    <col min="9232" max="9232" width="3.28515625" style="539" customWidth="1"/>
    <col min="9233" max="9473" width="9.140625" style="539"/>
    <col min="9474" max="9474" width="9.85546875" style="539" customWidth="1"/>
    <col min="9475" max="9475" width="80.7109375" style="539" customWidth="1"/>
    <col min="9476" max="9476" width="6.28515625" style="539" customWidth="1"/>
    <col min="9477" max="9477" width="13.7109375" style="539" customWidth="1"/>
    <col min="9478" max="9478" width="16.7109375" style="539" customWidth="1"/>
    <col min="9479" max="9479" width="19.42578125" style="539" customWidth="1"/>
    <col min="9480" max="9480" width="17" style="539" customWidth="1"/>
    <col min="9481" max="9481" width="13.7109375" style="539" customWidth="1"/>
    <col min="9482" max="9482" width="15.7109375" style="539" customWidth="1"/>
    <col min="9483" max="9483" width="12.140625" style="539" customWidth="1"/>
    <col min="9484" max="9484" width="17.140625" style="539" customWidth="1"/>
    <col min="9485" max="9485" width="16" style="539" customWidth="1"/>
    <col min="9486" max="9486" width="13.7109375" style="539" customWidth="1"/>
    <col min="9487" max="9487" width="12.28515625" style="539" customWidth="1"/>
    <col min="9488" max="9488" width="3.28515625" style="539" customWidth="1"/>
    <col min="9489" max="9729" width="9.140625" style="539"/>
    <col min="9730" max="9730" width="9.85546875" style="539" customWidth="1"/>
    <col min="9731" max="9731" width="80.7109375" style="539" customWidth="1"/>
    <col min="9732" max="9732" width="6.28515625" style="539" customWidth="1"/>
    <col min="9733" max="9733" width="13.7109375" style="539" customWidth="1"/>
    <col min="9734" max="9734" width="16.7109375" style="539" customWidth="1"/>
    <col min="9735" max="9735" width="19.42578125" style="539" customWidth="1"/>
    <col min="9736" max="9736" width="17" style="539" customWidth="1"/>
    <col min="9737" max="9737" width="13.7109375" style="539" customWidth="1"/>
    <col min="9738" max="9738" width="15.7109375" style="539" customWidth="1"/>
    <col min="9739" max="9739" width="12.140625" style="539" customWidth="1"/>
    <col min="9740" max="9740" width="17.140625" style="539" customWidth="1"/>
    <col min="9741" max="9741" width="16" style="539" customWidth="1"/>
    <col min="9742" max="9742" width="13.7109375" style="539" customWidth="1"/>
    <col min="9743" max="9743" width="12.28515625" style="539" customWidth="1"/>
    <col min="9744" max="9744" width="3.28515625" style="539" customWidth="1"/>
    <col min="9745" max="9985" width="9.140625" style="539"/>
    <col min="9986" max="9986" width="9.85546875" style="539" customWidth="1"/>
    <col min="9987" max="9987" width="80.7109375" style="539" customWidth="1"/>
    <col min="9988" max="9988" width="6.28515625" style="539" customWidth="1"/>
    <col min="9989" max="9989" width="13.7109375" style="539" customWidth="1"/>
    <col min="9990" max="9990" width="16.7109375" style="539" customWidth="1"/>
    <col min="9991" max="9991" width="19.42578125" style="539" customWidth="1"/>
    <col min="9992" max="9992" width="17" style="539" customWidth="1"/>
    <col min="9993" max="9993" width="13.7109375" style="539" customWidth="1"/>
    <col min="9994" max="9994" width="15.7109375" style="539" customWidth="1"/>
    <col min="9995" max="9995" width="12.140625" style="539" customWidth="1"/>
    <col min="9996" max="9996" width="17.140625" style="539" customWidth="1"/>
    <col min="9997" max="9997" width="16" style="539" customWidth="1"/>
    <col min="9998" max="9998" width="13.7109375" style="539" customWidth="1"/>
    <col min="9999" max="9999" width="12.28515625" style="539" customWidth="1"/>
    <col min="10000" max="10000" width="3.28515625" style="539" customWidth="1"/>
    <col min="10001" max="10241" width="9.140625" style="539"/>
    <col min="10242" max="10242" width="9.85546875" style="539" customWidth="1"/>
    <col min="10243" max="10243" width="80.7109375" style="539" customWidth="1"/>
    <col min="10244" max="10244" width="6.28515625" style="539" customWidth="1"/>
    <col min="10245" max="10245" width="13.7109375" style="539" customWidth="1"/>
    <col min="10246" max="10246" width="16.7109375" style="539" customWidth="1"/>
    <col min="10247" max="10247" width="19.42578125" style="539" customWidth="1"/>
    <col min="10248" max="10248" width="17" style="539" customWidth="1"/>
    <col min="10249" max="10249" width="13.7109375" style="539" customWidth="1"/>
    <col min="10250" max="10250" width="15.7109375" style="539" customWidth="1"/>
    <col min="10251" max="10251" width="12.140625" style="539" customWidth="1"/>
    <col min="10252" max="10252" width="17.140625" style="539" customWidth="1"/>
    <col min="10253" max="10253" width="16" style="539" customWidth="1"/>
    <col min="10254" max="10254" width="13.7109375" style="539" customWidth="1"/>
    <col min="10255" max="10255" width="12.28515625" style="539" customWidth="1"/>
    <col min="10256" max="10256" width="3.28515625" style="539" customWidth="1"/>
    <col min="10257" max="10497" width="9.140625" style="539"/>
    <col min="10498" max="10498" width="9.85546875" style="539" customWidth="1"/>
    <col min="10499" max="10499" width="80.7109375" style="539" customWidth="1"/>
    <col min="10500" max="10500" width="6.28515625" style="539" customWidth="1"/>
    <col min="10501" max="10501" width="13.7109375" style="539" customWidth="1"/>
    <col min="10502" max="10502" width="16.7109375" style="539" customWidth="1"/>
    <col min="10503" max="10503" width="19.42578125" style="539" customWidth="1"/>
    <col min="10504" max="10504" width="17" style="539" customWidth="1"/>
    <col min="10505" max="10505" width="13.7109375" style="539" customWidth="1"/>
    <col min="10506" max="10506" width="15.7109375" style="539" customWidth="1"/>
    <col min="10507" max="10507" width="12.140625" style="539" customWidth="1"/>
    <col min="10508" max="10508" width="17.140625" style="539" customWidth="1"/>
    <col min="10509" max="10509" width="16" style="539" customWidth="1"/>
    <col min="10510" max="10510" width="13.7109375" style="539" customWidth="1"/>
    <col min="10511" max="10511" width="12.28515625" style="539" customWidth="1"/>
    <col min="10512" max="10512" width="3.28515625" style="539" customWidth="1"/>
    <col min="10513" max="10753" width="9.140625" style="539"/>
    <col min="10754" max="10754" width="9.85546875" style="539" customWidth="1"/>
    <col min="10755" max="10755" width="80.7109375" style="539" customWidth="1"/>
    <col min="10756" max="10756" width="6.28515625" style="539" customWidth="1"/>
    <col min="10757" max="10757" width="13.7109375" style="539" customWidth="1"/>
    <col min="10758" max="10758" width="16.7109375" style="539" customWidth="1"/>
    <col min="10759" max="10759" width="19.42578125" style="539" customWidth="1"/>
    <col min="10760" max="10760" width="17" style="539" customWidth="1"/>
    <col min="10761" max="10761" width="13.7109375" style="539" customWidth="1"/>
    <col min="10762" max="10762" width="15.7109375" style="539" customWidth="1"/>
    <col min="10763" max="10763" width="12.140625" style="539" customWidth="1"/>
    <col min="10764" max="10764" width="17.140625" style="539" customWidth="1"/>
    <col min="10765" max="10765" width="16" style="539" customWidth="1"/>
    <col min="10766" max="10766" width="13.7109375" style="539" customWidth="1"/>
    <col min="10767" max="10767" width="12.28515625" style="539" customWidth="1"/>
    <col min="10768" max="10768" width="3.28515625" style="539" customWidth="1"/>
    <col min="10769" max="11009" width="9.140625" style="539"/>
    <col min="11010" max="11010" width="9.85546875" style="539" customWidth="1"/>
    <col min="11011" max="11011" width="80.7109375" style="539" customWidth="1"/>
    <col min="11012" max="11012" width="6.28515625" style="539" customWidth="1"/>
    <col min="11013" max="11013" width="13.7109375" style="539" customWidth="1"/>
    <col min="11014" max="11014" width="16.7109375" style="539" customWidth="1"/>
    <col min="11015" max="11015" width="19.42578125" style="539" customWidth="1"/>
    <col min="11016" max="11016" width="17" style="539" customWidth="1"/>
    <col min="11017" max="11017" width="13.7109375" style="539" customWidth="1"/>
    <col min="11018" max="11018" width="15.7109375" style="539" customWidth="1"/>
    <col min="11019" max="11019" width="12.140625" style="539" customWidth="1"/>
    <col min="11020" max="11020" width="17.140625" style="539" customWidth="1"/>
    <col min="11021" max="11021" width="16" style="539" customWidth="1"/>
    <col min="11022" max="11022" width="13.7109375" style="539" customWidth="1"/>
    <col min="11023" max="11023" width="12.28515625" style="539" customWidth="1"/>
    <col min="11024" max="11024" width="3.28515625" style="539" customWidth="1"/>
    <col min="11025" max="11265" width="9.140625" style="539"/>
    <col min="11266" max="11266" width="9.85546875" style="539" customWidth="1"/>
    <col min="11267" max="11267" width="80.7109375" style="539" customWidth="1"/>
    <col min="11268" max="11268" width="6.28515625" style="539" customWidth="1"/>
    <col min="11269" max="11269" width="13.7109375" style="539" customWidth="1"/>
    <col min="11270" max="11270" width="16.7109375" style="539" customWidth="1"/>
    <col min="11271" max="11271" width="19.42578125" style="539" customWidth="1"/>
    <col min="11272" max="11272" width="17" style="539" customWidth="1"/>
    <col min="11273" max="11273" width="13.7109375" style="539" customWidth="1"/>
    <col min="11274" max="11274" width="15.7109375" style="539" customWidth="1"/>
    <col min="11275" max="11275" width="12.140625" style="539" customWidth="1"/>
    <col min="11276" max="11276" width="17.140625" style="539" customWidth="1"/>
    <col min="11277" max="11277" width="16" style="539" customWidth="1"/>
    <col min="11278" max="11278" width="13.7109375" style="539" customWidth="1"/>
    <col min="11279" max="11279" width="12.28515625" style="539" customWidth="1"/>
    <col min="11280" max="11280" width="3.28515625" style="539" customWidth="1"/>
    <col min="11281" max="11521" width="9.140625" style="539"/>
    <col min="11522" max="11522" width="9.85546875" style="539" customWidth="1"/>
    <col min="11523" max="11523" width="80.7109375" style="539" customWidth="1"/>
    <col min="11524" max="11524" width="6.28515625" style="539" customWidth="1"/>
    <col min="11525" max="11525" width="13.7109375" style="539" customWidth="1"/>
    <col min="11526" max="11526" width="16.7109375" style="539" customWidth="1"/>
    <col min="11527" max="11527" width="19.42578125" style="539" customWidth="1"/>
    <col min="11528" max="11528" width="17" style="539" customWidth="1"/>
    <col min="11529" max="11529" width="13.7109375" style="539" customWidth="1"/>
    <col min="11530" max="11530" width="15.7109375" style="539" customWidth="1"/>
    <col min="11531" max="11531" width="12.140625" style="539" customWidth="1"/>
    <col min="11532" max="11532" width="17.140625" style="539" customWidth="1"/>
    <col min="11533" max="11533" width="16" style="539" customWidth="1"/>
    <col min="11534" max="11534" width="13.7109375" style="539" customWidth="1"/>
    <col min="11535" max="11535" width="12.28515625" style="539" customWidth="1"/>
    <col min="11536" max="11536" width="3.28515625" style="539" customWidth="1"/>
    <col min="11537" max="11777" width="9.140625" style="539"/>
    <col min="11778" max="11778" width="9.85546875" style="539" customWidth="1"/>
    <col min="11779" max="11779" width="80.7109375" style="539" customWidth="1"/>
    <col min="11780" max="11780" width="6.28515625" style="539" customWidth="1"/>
    <col min="11781" max="11781" width="13.7109375" style="539" customWidth="1"/>
    <col min="11782" max="11782" width="16.7109375" style="539" customWidth="1"/>
    <col min="11783" max="11783" width="19.42578125" style="539" customWidth="1"/>
    <col min="11784" max="11784" width="17" style="539" customWidth="1"/>
    <col min="11785" max="11785" width="13.7109375" style="539" customWidth="1"/>
    <col min="11786" max="11786" width="15.7109375" style="539" customWidth="1"/>
    <col min="11787" max="11787" width="12.140625" style="539" customWidth="1"/>
    <col min="11788" max="11788" width="17.140625" style="539" customWidth="1"/>
    <col min="11789" max="11789" width="16" style="539" customWidth="1"/>
    <col min="11790" max="11790" width="13.7109375" style="539" customWidth="1"/>
    <col min="11791" max="11791" width="12.28515625" style="539" customWidth="1"/>
    <col min="11792" max="11792" width="3.28515625" style="539" customWidth="1"/>
    <col min="11793" max="12033" width="9.140625" style="539"/>
    <col min="12034" max="12034" width="9.85546875" style="539" customWidth="1"/>
    <col min="12035" max="12035" width="80.7109375" style="539" customWidth="1"/>
    <col min="12036" max="12036" width="6.28515625" style="539" customWidth="1"/>
    <col min="12037" max="12037" width="13.7109375" style="539" customWidth="1"/>
    <col min="12038" max="12038" width="16.7109375" style="539" customWidth="1"/>
    <col min="12039" max="12039" width="19.42578125" style="539" customWidth="1"/>
    <col min="12040" max="12040" width="17" style="539" customWidth="1"/>
    <col min="12041" max="12041" width="13.7109375" style="539" customWidth="1"/>
    <col min="12042" max="12042" width="15.7109375" style="539" customWidth="1"/>
    <col min="12043" max="12043" width="12.140625" style="539" customWidth="1"/>
    <col min="12044" max="12044" width="17.140625" style="539" customWidth="1"/>
    <col min="12045" max="12045" width="16" style="539" customWidth="1"/>
    <col min="12046" max="12046" width="13.7109375" style="539" customWidth="1"/>
    <col min="12047" max="12047" width="12.28515625" style="539" customWidth="1"/>
    <col min="12048" max="12048" width="3.28515625" style="539" customWidth="1"/>
    <col min="12049" max="12289" width="9.140625" style="539"/>
    <col min="12290" max="12290" width="9.85546875" style="539" customWidth="1"/>
    <col min="12291" max="12291" width="80.7109375" style="539" customWidth="1"/>
    <col min="12292" max="12292" width="6.28515625" style="539" customWidth="1"/>
    <col min="12293" max="12293" width="13.7109375" style="539" customWidth="1"/>
    <col min="12294" max="12294" width="16.7109375" style="539" customWidth="1"/>
    <col min="12295" max="12295" width="19.42578125" style="539" customWidth="1"/>
    <col min="12296" max="12296" width="17" style="539" customWidth="1"/>
    <col min="12297" max="12297" width="13.7109375" style="539" customWidth="1"/>
    <col min="12298" max="12298" width="15.7109375" style="539" customWidth="1"/>
    <col min="12299" max="12299" width="12.140625" style="539" customWidth="1"/>
    <col min="12300" max="12300" width="17.140625" style="539" customWidth="1"/>
    <col min="12301" max="12301" width="16" style="539" customWidth="1"/>
    <col min="12302" max="12302" width="13.7109375" style="539" customWidth="1"/>
    <col min="12303" max="12303" width="12.28515625" style="539" customWidth="1"/>
    <col min="12304" max="12304" width="3.28515625" style="539" customWidth="1"/>
    <col min="12305" max="12545" width="9.140625" style="539"/>
    <col min="12546" max="12546" width="9.85546875" style="539" customWidth="1"/>
    <col min="12547" max="12547" width="80.7109375" style="539" customWidth="1"/>
    <col min="12548" max="12548" width="6.28515625" style="539" customWidth="1"/>
    <col min="12549" max="12549" width="13.7109375" style="539" customWidth="1"/>
    <col min="12550" max="12550" width="16.7109375" style="539" customWidth="1"/>
    <col min="12551" max="12551" width="19.42578125" style="539" customWidth="1"/>
    <col min="12552" max="12552" width="17" style="539" customWidth="1"/>
    <col min="12553" max="12553" width="13.7109375" style="539" customWidth="1"/>
    <col min="12554" max="12554" width="15.7109375" style="539" customWidth="1"/>
    <col min="12555" max="12555" width="12.140625" style="539" customWidth="1"/>
    <col min="12556" max="12556" width="17.140625" style="539" customWidth="1"/>
    <col min="12557" max="12557" width="16" style="539" customWidth="1"/>
    <col min="12558" max="12558" width="13.7109375" style="539" customWidth="1"/>
    <col min="12559" max="12559" width="12.28515625" style="539" customWidth="1"/>
    <col min="12560" max="12560" width="3.28515625" style="539" customWidth="1"/>
    <col min="12561" max="12801" width="9.140625" style="539"/>
    <col min="12802" max="12802" width="9.85546875" style="539" customWidth="1"/>
    <col min="12803" max="12803" width="80.7109375" style="539" customWidth="1"/>
    <col min="12804" max="12804" width="6.28515625" style="539" customWidth="1"/>
    <col min="12805" max="12805" width="13.7109375" style="539" customWidth="1"/>
    <col min="12806" max="12806" width="16.7109375" style="539" customWidth="1"/>
    <col min="12807" max="12807" width="19.42578125" style="539" customWidth="1"/>
    <col min="12808" max="12808" width="17" style="539" customWidth="1"/>
    <col min="12809" max="12809" width="13.7109375" style="539" customWidth="1"/>
    <col min="12810" max="12810" width="15.7109375" style="539" customWidth="1"/>
    <col min="12811" max="12811" width="12.140625" style="539" customWidth="1"/>
    <col min="12812" max="12812" width="17.140625" style="539" customWidth="1"/>
    <col min="12813" max="12813" width="16" style="539" customWidth="1"/>
    <col min="12814" max="12814" width="13.7109375" style="539" customWidth="1"/>
    <col min="12815" max="12815" width="12.28515625" style="539" customWidth="1"/>
    <col min="12816" max="12816" width="3.28515625" style="539" customWidth="1"/>
    <col min="12817" max="13057" width="9.140625" style="539"/>
    <col min="13058" max="13058" width="9.85546875" style="539" customWidth="1"/>
    <col min="13059" max="13059" width="80.7109375" style="539" customWidth="1"/>
    <col min="13060" max="13060" width="6.28515625" style="539" customWidth="1"/>
    <col min="13061" max="13061" width="13.7109375" style="539" customWidth="1"/>
    <col min="13062" max="13062" width="16.7109375" style="539" customWidth="1"/>
    <col min="13063" max="13063" width="19.42578125" style="539" customWidth="1"/>
    <col min="13064" max="13064" width="17" style="539" customWidth="1"/>
    <col min="13065" max="13065" width="13.7109375" style="539" customWidth="1"/>
    <col min="13066" max="13066" width="15.7109375" style="539" customWidth="1"/>
    <col min="13067" max="13067" width="12.140625" style="539" customWidth="1"/>
    <col min="13068" max="13068" width="17.140625" style="539" customWidth="1"/>
    <col min="13069" max="13069" width="16" style="539" customWidth="1"/>
    <col min="13070" max="13070" width="13.7109375" style="539" customWidth="1"/>
    <col min="13071" max="13071" width="12.28515625" style="539" customWidth="1"/>
    <col min="13072" max="13072" width="3.28515625" style="539" customWidth="1"/>
    <col min="13073" max="13313" width="9.140625" style="539"/>
    <col min="13314" max="13314" width="9.85546875" style="539" customWidth="1"/>
    <col min="13315" max="13315" width="80.7109375" style="539" customWidth="1"/>
    <col min="13316" max="13316" width="6.28515625" style="539" customWidth="1"/>
    <col min="13317" max="13317" width="13.7109375" style="539" customWidth="1"/>
    <col min="13318" max="13318" width="16.7109375" style="539" customWidth="1"/>
    <col min="13319" max="13319" width="19.42578125" style="539" customWidth="1"/>
    <col min="13320" max="13320" width="17" style="539" customWidth="1"/>
    <col min="13321" max="13321" width="13.7109375" style="539" customWidth="1"/>
    <col min="13322" max="13322" width="15.7109375" style="539" customWidth="1"/>
    <col min="13323" max="13323" width="12.140625" style="539" customWidth="1"/>
    <col min="13324" max="13324" width="17.140625" style="539" customWidth="1"/>
    <col min="13325" max="13325" width="16" style="539" customWidth="1"/>
    <col min="13326" max="13326" width="13.7109375" style="539" customWidth="1"/>
    <col min="13327" max="13327" width="12.28515625" style="539" customWidth="1"/>
    <col min="13328" max="13328" width="3.28515625" style="539" customWidth="1"/>
    <col min="13329" max="13569" width="9.140625" style="539"/>
    <col min="13570" max="13570" width="9.85546875" style="539" customWidth="1"/>
    <col min="13571" max="13571" width="80.7109375" style="539" customWidth="1"/>
    <col min="13572" max="13572" width="6.28515625" style="539" customWidth="1"/>
    <col min="13573" max="13573" width="13.7109375" style="539" customWidth="1"/>
    <col min="13574" max="13574" width="16.7109375" style="539" customWidth="1"/>
    <col min="13575" max="13575" width="19.42578125" style="539" customWidth="1"/>
    <col min="13576" max="13576" width="17" style="539" customWidth="1"/>
    <col min="13577" max="13577" width="13.7109375" style="539" customWidth="1"/>
    <col min="13578" max="13578" width="15.7109375" style="539" customWidth="1"/>
    <col min="13579" max="13579" width="12.140625" style="539" customWidth="1"/>
    <col min="13580" max="13580" width="17.140625" style="539" customWidth="1"/>
    <col min="13581" max="13581" width="16" style="539" customWidth="1"/>
    <col min="13582" max="13582" width="13.7109375" style="539" customWidth="1"/>
    <col min="13583" max="13583" width="12.28515625" style="539" customWidth="1"/>
    <col min="13584" max="13584" width="3.28515625" style="539" customWidth="1"/>
    <col min="13585" max="13825" width="9.140625" style="539"/>
    <col min="13826" max="13826" width="9.85546875" style="539" customWidth="1"/>
    <col min="13827" max="13827" width="80.7109375" style="539" customWidth="1"/>
    <col min="13828" max="13828" width="6.28515625" style="539" customWidth="1"/>
    <col min="13829" max="13829" width="13.7109375" style="539" customWidth="1"/>
    <col min="13830" max="13830" width="16.7109375" style="539" customWidth="1"/>
    <col min="13831" max="13831" width="19.42578125" style="539" customWidth="1"/>
    <col min="13832" max="13832" width="17" style="539" customWidth="1"/>
    <col min="13833" max="13833" width="13.7109375" style="539" customWidth="1"/>
    <col min="13834" max="13834" width="15.7109375" style="539" customWidth="1"/>
    <col min="13835" max="13835" width="12.140625" style="539" customWidth="1"/>
    <col min="13836" max="13836" width="17.140625" style="539" customWidth="1"/>
    <col min="13837" max="13837" width="16" style="539" customWidth="1"/>
    <col min="13838" max="13838" width="13.7109375" style="539" customWidth="1"/>
    <col min="13839" max="13839" width="12.28515625" style="539" customWidth="1"/>
    <col min="13840" max="13840" width="3.28515625" style="539" customWidth="1"/>
    <col min="13841" max="14081" width="9.140625" style="539"/>
    <col min="14082" max="14082" width="9.85546875" style="539" customWidth="1"/>
    <col min="14083" max="14083" width="80.7109375" style="539" customWidth="1"/>
    <col min="14084" max="14084" width="6.28515625" style="539" customWidth="1"/>
    <col min="14085" max="14085" width="13.7109375" style="539" customWidth="1"/>
    <col min="14086" max="14086" width="16.7109375" style="539" customWidth="1"/>
    <col min="14087" max="14087" width="19.42578125" style="539" customWidth="1"/>
    <col min="14088" max="14088" width="17" style="539" customWidth="1"/>
    <col min="14089" max="14089" width="13.7109375" style="539" customWidth="1"/>
    <col min="14090" max="14090" width="15.7109375" style="539" customWidth="1"/>
    <col min="14091" max="14091" width="12.140625" style="539" customWidth="1"/>
    <col min="14092" max="14092" width="17.140625" style="539" customWidth="1"/>
    <col min="14093" max="14093" width="16" style="539" customWidth="1"/>
    <col min="14094" max="14094" width="13.7109375" style="539" customWidth="1"/>
    <col min="14095" max="14095" width="12.28515625" style="539" customWidth="1"/>
    <col min="14096" max="14096" width="3.28515625" style="539" customWidth="1"/>
    <col min="14097" max="14337" width="9.140625" style="539"/>
    <col min="14338" max="14338" width="9.85546875" style="539" customWidth="1"/>
    <col min="14339" max="14339" width="80.7109375" style="539" customWidth="1"/>
    <col min="14340" max="14340" width="6.28515625" style="539" customWidth="1"/>
    <col min="14341" max="14341" width="13.7109375" style="539" customWidth="1"/>
    <col min="14342" max="14342" width="16.7109375" style="539" customWidth="1"/>
    <col min="14343" max="14343" width="19.42578125" style="539" customWidth="1"/>
    <col min="14344" max="14344" width="17" style="539" customWidth="1"/>
    <col min="14345" max="14345" width="13.7109375" style="539" customWidth="1"/>
    <col min="14346" max="14346" width="15.7109375" style="539" customWidth="1"/>
    <col min="14347" max="14347" width="12.140625" style="539" customWidth="1"/>
    <col min="14348" max="14348" width="17.140625" style="539" customWidth="1"/>
    <col min="14349" max="14349" width="16" style="539" customWidth="1"/>
    <col min="14350" max="14350" width="13.7109375" style="539" customWidth="1"/>
    <col min="14351" max="14351" width="12.28515625" style="539" customWidth="1"/>
    <col min="14352" max="14352" width="3.28515625" style="539" customWidth="1"/>
    <col min="14353" max="14593" width="9.140625" style="539"/>
    <col min="14594" max="14594" width="9.85546875" style="539" customWidth="1"/>
    <col min="14595" max="14595" width="80.7109375" style="539" customWidth="1"/>
    <col min="14596" max="14596" width="6.28515625" style="539" customWidth="1"/>
    <col min="14597" max="14597" width="13.7109375" style="539" customWidth="1"/>
    <col min="14598" max="14598" width="16.7109375" style="539" customWidth="1"/>
    <col min="14599" max="14599" width="19.42578125" style="539" customWidth="1"/>
    <col min="14600" max="14600" width="17" style="539" customWidth="1"/>
    <col min="14601" max="14601" width="13.7109375" style="539" customWidth="1"/>
    <col min="14602" max="14602" width="15.7109375" style="539" customWidth="1"/>
    <col min="14603" max="14603" width="12.140625" style="539" customWidth="1"/>
    <col min="14604" max="14604" width="17.140625" style="539" customWidth="1"/>
    <col min="14605" max="14605" width="16" style="539" customWidth="1"/>
    <col min="14606" max="14606" width="13.7109375" style="539" customWidth="1"/>
    <col min="14607" max="14607" width="12.28515625" style="539" customWidth="1"/>
    <col min="14608" max="14608" width="3.28515625" style="539" customWidth="1"/>
    <col min="14609" max="14849" width="9.140625" style="539"/>
    <col min="14850" max="14850" width="9.85546875" style="539" customWidth="1"/>
    <col min="14851" max="14851" width="80.7109375" style="539" customWidth="1"/>
    <col min="14852" max="14852" width="6.28515625" style="539" customWidth="1"/>
    <col min="14853" max="14853" width="13.7109375" style="539" customWidth="1"/>
    <col min="14854" max="14854" width="16.7109375" style="539" customWidth="1"/>
    <col min="14855" max="14855" width="19.42578125" style="539" customWidth="1"/>
    <col min="14856" max="14856" width="17" style="539" customWidth="1"/>
    <col min="14857" max="14857" width="13.7109375" style="539" customWidth="1"/>
    <col min="14858" max="14858" width="15.7109375" style="539" customWidth="1"/>
    <col min="14859" max="14859" width="12.140625" style="539" customWidth="1"/>
    <col min="14860" max="14860" width="17.140625" style="539" customWidth="1"/>
    <col min="14861" max="14861" width="16" style="539" customWidth="1"/>
    <col min="14862" max="14862" width="13.7109375" style="539" customWidth="1"/>
    <col min="14863" max="14863" width="12.28515625" style="539" customWidth="1"/>
    <col min="14864" max="14864" width="3.28515625" style="539" customWidth="1"/>
    <col min="14865" max="15105" width="9.140625" style="539"/>
    <col min="15106" max="15106" width="9.85546875" style="539" customWidth="1"/>
    <col min="15107" max="15107" width="80.7109375" style="539" customWidth="1"/>
    <col min="15108" max="15108" width="6.28515625" style="539" customWidth="1"/>
    <col min="15109" max="15109" width="13.7109375" style="539" customWidth="1"/>
    <col min="15110" max="15110" width="16.7109375" style="539" customWidth="1"/>
    <col min="15111" max="15111" width="19.42578125" style="539" customWidth="1"/>
    <col min="15112" max="15112" width="17" style="539" customWidth="1"/>
    <col min="15113" max="15113" width="13.7109375" style="539" customWidth="1"/>
    <col min="15114" max="15114" width="15.7109375" style="539" customWidth="1"/>
    <col min="15115" max="15115" width="12.140625" style="539" customWidth="1"/>
    <col min="15116" max="15116" width="17.140625" style="539" customWidth="1"/>
    <col min="15117" max="15117" width="16" style="539" customWidth="1"/>
    <col min="15118" max="15118" width="13.7109375" style="539" customWidth="1"/>
    <col min="15119" max="15119" width="12.28515625" style="539" customWidth="1"/>
    <col min="15120" max="15120" width="3.28515625" style="539" customWidth="1"/>
    <col min="15121" max="15361" width="9.140625" style="539"/>
    <col min="15362" max="15362" width="9.85546875" style="539" customWidth="1"/>
    <col min="15363" max="15363" width="80.7109375" style="539" customWidth="1"/>
    <col min="15364" max="15364" width="6.28515625" style="539" customWidth="1"/>
    <col min="15365" max="15365" width="13.7109375" style="539" customWidth="1"/>
    <col min="15366" max="15366" width="16.7109375" style="539" customWidth="1"/>
    <col min="15367" max="15367" width="19.42578125" style="539" customWidth="1"/>
    <col min="15368" max="15368" width="17" style="539" customWidth="1"/>
    <col min="15369" max="15369" width="13.7109375" style="539" customWidth="1"/>
    <col min="15370" max="15370" width="15.7109375" style="539" customWidth="1"/>
    <col min="15371" max="15371" width="12.140625" style="539" customWidth="1"/>
    <col min="15372" max="15372" width="17.140625" style="539" customWidth="1"/>
    <col min="15373" max="15373" width="16" style="539" customWidth="1"/>
    <col min="15374" max="15374" width="13.7109375" style="539" customWidth="1"/>
    <col min="15375" max="15375" width="12.28515625" style="539" customWidth="1"/>
    <col min="15376" max="15376" width="3.28515625" style="539" customWidth="1"/>
    <col min="15377" max="15617" width="9.140625" style="539"/>
    <col min="15618" max="15618" width="9.85546875" style="539" customWidth="1"/>
    <col min="15619" max="15619" width="80.7109375" style="539" customWidth="1"/>
    <col min="15620" max="15620" width="6.28515625" style="539" customWidth="1"/>
    <col min="15621" max="15621" width="13.7109375" style="539" customWidth="1"/>
    <col min="15622" max="15622" width="16.7109375" style="539" customWidth="1"/>
    <col min="15623" max="15623" width="19.42578125" style="539" customWidth="1"/>
    <col min="15624" max="15624" width="17" style="539" customWidth="1"/>
    <col min="15625" max="15625" width="13.7109375" style="539" customWidth="1"/>
    <col min="15626" max="15626" width="15.7109375" style="539" customWidth="1"/>
    <col min="15627" max="15627" width="12.140625" style="539" customWidth="1"/>
    <col min="15628" max="15628" width="17.140625" style="539" customWidth="1"/>
    <col min="15629" max="15629" width="16" style="539" customWidth="1"/>
    <col min="15630" max="15630" width="13.7109375" style="539" customWidth="1"/>
    <col min="15631" max="15631" width="12.28515625" style="539" customWidth="1"/>
    <col min="15632" max="15632" width="3.28515625" style="539" customWidth="1"/>
    <col min="15633" max="15873" width="9.140625" style="539"/>
    <col min="15874" max="15874" width="9.85546875" style="539" customWidth="1"/>
    <col min="15875" max="15875" width="80.7109375" style="539" customWidth="1"/>
    <col min="15876" max="15876" width="6.28515625" style="539" customWidth="1"/>
    <col min="15877" max="15877" width="13.7109375" style="539" customWidth="1"/>
    <col min="15878" max="15878" width="16.7109375" style="539" customWidth="1"/>
    <col min="15879" max="15879" width="19.42578125" style="539" customWidth="1"/>
    <col min="15880" max="15880" width="17" style="539" customWidth="1"/>
    <col min="15881" max="15881" width="13.7109375" style="539" customWidth="1"/>
    <col min="15882" max="15882" width="15.7109375" style="539" customWidth="1"/>
    <col min="15883" max="15883" width="12.140625" style="539" customWidth="1"/>
    <col min="15884" max="15884" width="17.140625" style="539" customWidth="1"/>
    <col min="15885" max="15885" width="16" style="539" customWidth="1"/>
    <col min="15886" max="15886" width="13.7109375" style="539" customWidth="1"/>
    <col min="15887" max="15887" width="12.28515625" style="539" customWidth="1"/>
    <col min="15888" max="15888" width="3.28515625" style="539" customWidth="1"/>
    <col min="15889" max="16129" width="9.140625" style="539"/>
    <col min="16130" max="16130" width="9.85546875" style="539" customWidth="1"/>
    <col min="16131" max="16131" width="80.7109375" style="539" customWidth="1"/>
    <col min="16132" max="16132" width="6.28515625" style="539" customWidth="1"/>
    <col min="16133" max="16133" width="13.7109375" style="539" customWidth="1"/>
    <col min="16134" max="16134" width="16.7109375" style="539" customWidth="1"/>
    <col min="16135" max="16135" width="19.42578125" style="539" customWidth="1"/>
    <col min="16136" max="16136" width="17" style="539" customWidth="1"/>
    <col min="16137" max="16137" width="13.7109375" style="539" customWidth="1"/>
    <col min="16138" max="16138" width="15.7109375" style="539" customWidth="1"/>
    <col min="16139" max="16139" width="12.140625" style="539" customWidth="1"/>
    <col min="16140" max="16140" width="17.140625" style="539" customWidth="1"/>
    <col min="16141" max="16141" width="16" style="539" customWidth="1"/>
    <col min="16142" max="16142" width="13.7109375" style="539" customWidth="1"/>
    <col min="16143" max="16143" width="12.28515625" style="539" customWidth="1"/>
    <col min="16144" max="16144" width="3.28515625" style="539" customWidth="1"/>
    <col min="16145" max="16384" width="9.140625" style="539"/>
  </cols>
  <sheetData>
    <row r="1" spans="2:15" ht="12.75" customHeight="1">
      <c r="B1" s="699" t="s">
        <v>73</v>
      </c>
      <c r="C1" s="699"/>
      <c r="D1" s="699"/>
      <c r="E1" s="699"/>
      <c r="F1" s="699"/>
      <c r="G1" s="699"/>
      <c r="H1" s="699"/>
      <c r="I1" s="699"/>
      <c r="J1" s="699"/>
      <c r="K1" s="699"/>
      <c r="L1" s="699"/>
      <c r="M1" s="699"/>
      <c r="N1" s="699"/>
    </row>
    <row r="2" spans="2:15" ht="13.5" customHeight="1">
      <c r="B2" s="699" t="s">
        <v>256</v>
      </c>
      <c r="C2" s="699"/>
      <c r="D2" s="699"/>
      <c r="E2" s="699"/>
      <c r="F2" s="699"/>
      <c r="G2" s="699"/>
      <c r="H2" s="699"/>
      <c r="I2" s="699"/>
      <c r="J2" s="699"/>
      <c r="K2" s="699"/>
      <c r="L2" s="699"/>
      <c r="M2" s="699"/>
      <c r="N2" s="699"/>
    </row>
    <row r="3" spans="2:15">
      <c r="B3" s="699" t="s">
        <v>257</v>
      </c>
      <c r="C3" s="699"/>
      <c r="D3" s="699"/>
      <c r="E3" s="699"/>
      <c r="F3" s="699"/>
      <c r="G3" s="699"/>
      <c r="H3" s="699"/>
      <c r="I3" s="699"/>
      <c r="J3" s="699"/>
      <c r="K3" s="699"/>
      <c r="L3" s="699"/>
      <c r="M3" s="699"/>
      <c r="N3" s="699"/>
    </row>
    <row r="4" spans="2:15">
      <c r="B4" s="83"/>
      <c r="C4" s="84"/>
      <c r="D4" s="85"/>
      <c r="E4" s="84"/>
      <c r="F4" s="84"/>
      <c r="G4" s="85"/>
      <c r="H4" s="85"/>
      <c r="I4" s="85"/>
      <c r="J4" s="85"/>
    </row>
    <row r="5" spans="2:15" ht="12.75" thickBot="1"/>
    <row r="6" spans="2:15" ht="66" customHeight="1">
      <c r="B6" s="215" t="s">
        <v>258</v>
      </c>
      <c r="C6" s="216"/>
      <c r="D6" s="179"/>
      <c r="E6" s="217" t="s">
        <v>104</v>
      </c>
      <c r="F6" s="217" t="s">
        <v>105</v>
      </c>
      <c r="G6" s="217" t="s">
        <v>106</v>
      </c>
      <c r="H6" s="217" t="s">
        <v>107</v>
      </c>
      <c r="I6" s="88" t="s">
        <v>314</v>
      </c>
      <c r="J6" s="217" t="s">
        <v>108</v>
      </c>
      <c r="K6" s="217" t="s">
        <v>109</v>
      </c>
      <c r="L6" s="217" t="s">
        <v>110</v>
      </c>
      <c r="M6" s="217" t="s">
        <v>50</v>
      </c>
      <c r="N6" s="89" t="s">
        <v>111</v>
      </c>
    </row>
    <row r="7" spans="2:15">
      <c r="B7" s="218" t="s">
        <v>112</v>
      </c>
      <c r="C7" s="219"/>
      <c r="D7" s="182"/>
      <c r="E7" s="541">
        <v>711</v>
      </c>
      <c r="F7" s="541">
        <v>279</v>
      </c>
      <c r="G7" s="541">
        <v>50</v>
      </c>
      <c r="H7" s="541">
        <v>36</v>
      </c>
      <c r="I7" s="541">
        <v>43</v>
      </c>
      <c r="J7" s="541">
        <v>200</v>
      </c>
      <c r="K7" s="541">
        <v>142</v>
      </c>
      <c r="L7" s="541">
        <v>94</v>
      </c>
      <c r="M7" s="541">
        <v>61</v>
      </c>
      <c r="N7" s="542">
        <v>905</v>
      </c>
    </row>
    <row r="8" spans="2:15" ht="24">
      <c r="B8" s="95"/>
      <c r="C8" s="96" t="s">
        <v>52</v>
      </c>
      <c r="D8" s="119" t="s">
        <v>114</v>
      </c>
      <c r="E8" s="543">
        <v>12</v>
      </c>
      <c r="F8" s="543">
        <v>0</v>
      </c>
      <c r="G8" s="543">
        <v>0</v>
      </c>
      <c r="H8" s="543">
        <v>0</v>
      </c>
      <c r="I8" s="543">
        <v>0</v>
      </c>
      <c r="J8" s="543">
        <v>0</v>
      </c>
      <c r="K8" s="543">
        <v>0</v>
      </c>
      <c r="L8" s="543">
        <v>0</v>
      </c>
      <c r="M8" s="543">
        <v>0</v>
      </c>
      <c r="N8" s="544">
        <v>0</v>
      </c>
    </row>
    <row r="9" spans="2:15" ht="24">
      <c r="B9" s="95"/>
      <c r="C9" s="96" t="s">
        <v>142</v>
      </c>
      <c r="D9" s="119" t="s">
        <v>115</v>
      </c>
      <c r="E9" s="543">
        <v>0</v>
      </c>
      <c r="F9" s="543">
        <v>0</v>
      </c>
      <c r="G9" s="543">
        <v>0</v>
      </c>
      <c r="H9" s="543">
        <v>0</v>
      </c>
      <c r="I9" s="543">
        <v>0</v>
      </c>
      <c r="J9" s="543">
        <v>-7</v>
      </c>
      <c r="K9" s="543">
        <v>-4</v>
      </c>
      <c r="L9" s="543">
        <v>-15</v>
      </c>
      <c r="M9" s="543">
        <v>0</v>
      </c>
      <c r="N9" s="544">
        <v>-26</v>
      </c>
      <c r="O9" s="545"/>
    </row>
    <row r="10" spans="2:15">
      <c r="B10" s="95"/>
      <c r="C10" s="96" t="s">
        <v>134</v>
      </c>
      <c r="D10" s="119" t="s">
        <v>135</v>
      </c>
      <c r="E10" s="543">
        <v>-6</v>
      </c>
      <c r="F10" s="543">
        <v>-1</v>
      </c>
      <c r="G10" s="543">
        <v>-1</v>
      </c>
      <c r="H10" s="543">
        <v>0</v>
      </c>
      <c r="I10" s="543">
        <v>0</v>
      </c>
      <c r="J10" s="543">
        <v>-91</v>
      </c>
      <c r="K10" s="543">
        <v>-12</v>
      </c>
      <c r="L10" s="543">
        <v>-11</v>
      </c>
      <c r="M10" s="543">
        <v>0</v>
      </c>
      <c r="N10" s="544">
        <v>-116</v>
      </c>
      <c r="O10" s="545"/>
    </row>
    <row r="11" spans="2:15" ht="24">
      <c r="B11" s="95"/>
      <c r="C11" s="96" t="s">
        <v>259</v>
      </c>
      <c r="D11" s="225" t="s">
        <v>124</v>
      </c>
      <c r="E11" s="543">
        <v>0</v>
      </c>
      <c r="F11" s="543">
        <v>0</v>
      </c>
      <c r="G11" s="543">
        <v>0</v>
      </c>
      <c r="H11" s="543">
        <v>0</v>
      </c>
      <c r="I11" s="543">
        <v>0</v>
      </c>
      <c r="J11" s="543">
        <v>0</v>
      </c>
      <c r="K11" s="543">
        <v>0</v>
      </c>
      <c r="L11" s="543">
        <v>-17</v>
      </c>
      <c r="M11" s="543">
        <v>-61</v>
      </c>
      <c r="N11" s="544">
        <v>-78</v>
      </c>
      <c r="O11" s="545"/>
    </row>
    <row r="12" spans="2:15" ht="24">
      <c r="B12" s="95"/>
      <c r="C12" s="226" t="s">
        <v>136</v>
      </c>
      <c r="D12" s="225" t="s">
        <v>117</v>
      </c>
      <c r="E12" s="543">
        <v>0</v>
      </c>
      <c r="F12" s="543">
        <v>-8</v>
      </c>
      <c r="G12" s="543">
        <v>-24</v>
      </c>
      <c r="H12" s="543">
        <v>-22</v>
      </c>
      <c r="I12" s="543">
        <v>0</v>
      </c>
      <c r="J12" s="543">
        <v>0</v>
      </c>
      <c r="K12" s="543">
        <v>-35</v>
      </c>
      <c r="L12" s="543">
        <v>-1</v>
      </c>
      <c r="M12" s="543">
        <v>0</v>
      </c>
      <c r="N12" s="544">
        <v>-90</v>
      </c>
    </row>
    <row r="13" spans="2:15" ht="12.75" thickBot="1">
      <c r="B13" s="546" t="s">
        <v>118</v>
      </c>
      <c r="C13" s="547"/>
      <c r="D13" s="548"/>
      <c r="E13" s="549">
        <v>717</v>
      </c>
      <c r="F13" s="549">
        <v>270</v>
      </c>
      <c r="G13" s="549">
        <v>25</v>
      </c>
      <c r="H13" s="549">
        <v>14</v>
      </c>
      <c r="I13" s="549">
        <v>43</v>
      </c>
      <c r="J13" s="549">
        <v>102</v>
      </c>
      <c r="K13" s="549">
        <v>91</v>
      </c>
      <c r="L13" s="549">
        <v>50</v>
      </c>
      <c r="M13" s="549">
        <v>0</v>
      </c>
      <c r="N13" s="550">
        <v>595</v>
      </c>
    </row>
    <row r="14" spans="2:15" ht="4.5" customHeight="1" thickTop="1" thickBot="1">
      <c r="B14" s="551"/>
      <c r="C14" s="552"/>
      <c r="D14" s="553"/>
      <c r="E14" s="552"/>
      <c r="F14" s="552"/>
      <c r="G14" s="552"/>
      <c r="H14" s="552"/>
      <c r="I14" s="552"/>
      <c r="J14" s="552"/>
      <c r="K14" s="552"/>
      <c r="L14" s="552"/>
      <c r="M14" s="552"/>
      <c r="N14" s="554"/>
    </row>
    <row r="15" spans="2:15" ht="12.75" thickBot="1">
      <c r="B15" s="555"/>
      <c r="C15" s="556"/>
      <c r="D15" s="557"/>
      <c r="E15" s="556"/>
      <c r="F15" s="556"/>
      <c r="G15" s="556"/>
      <c r="H15" s="556"/>
      <c r="I15" s="556"/>
      <c r="J15" s="556"/>
      <c r="K15" s="556"/>
      <c r="L15" s="556"/>
      <c r="M15" s="556"/>
      <c r="N15" s="556"/>
    </row>
    <row r="16" spans="2:15" ht="57.75" customHeight="1">
      <c r="B16" s="239" t="s">
        <v>258</v>
      </c>
      <c r="C16" s="240"/>
      <c r="D16" s="113"/>
      <c r="E16" s="241" t="s">
        <v>119</v>
      </c>
      <c r="F16" s="241" t="s">
        <v>120</v>
      </c>
      <c r="G16" s="241" t="s">
        <v>121</v>
      </c>
      <c r="H16" s="115" t="s">
        <v>122</v>
      </c>
      <c r="I16" s="116"/>
      <c r="J16" s="242"/>
      <c r="K16" s="558"/>
      <c r="L16" s="555"/>
      <c r="M16" s="555"/>
      <c r="N16" s="555"/>
    </row>
    <row r="17" spans="2:15">
      <c r="B17" s="95" t="s">
        <v>112</v>
      </c>
      <c r="C17" s="222"/>
      <c r="D17" s="119"/>
      <c r="E17" s="559">
        <v>-194</v>
      </c>
      <c r="F17" s="541">
        <v>-108</v>
      </c>
      <c r="G17" s="560">
        <v>-8.4972462627852088E-2</v>
      </c>
      <c r="H17" s="561">
        <v>-8.4972462627852088E-2</v>
      </c>
      <c r="I17" s="562"/>
      <c r="J17" s="556"/>
      <c r="K17" s="556"/>
      <c r="L17" s="556"/>
      <c r="M17" s="556"/>
      <c r="N17" s="563"/>
    </row>
    <row r="18" spans="2:15" ht="24">
      <c r="B18" s="95"/>
      <c r="C18" s="96" t="s">
        <v>52</v>
      </c>
      <c r="D18" s="119" t="s">
        <v>114</v>
      </c>
      <c r="E18" s="564">
        <v>12</v>
      </c>
      <c r="F18" s="543">
        <v>7</v>
      </c>
      <c r="G18" s="565">
        <v>5.4678736564691896E-3</v>
      </c>
      <c r="H18" s="566">
        <v>5.4678736564691896E-3</v>
      </c>
      <c r="I18" s="562"/>
      <c r="J18" s="556"/>
      <c r="K18" s="556"/>
      <c r="L18" s="556"/>
      <c r="M18" s="556"/>
      <c r="N18" s="567"/>
    </row>
    <row r="19" spans="2:15" ht="24">
      <c r="B19" s="95"/>
      <c r="C19" s="96" t="s">
        <v>142</v>
      </c>
      <c r="D19" s="119" t="s">
        <v>115</v>
      </c>
      <c r="E19" s="564">
        <v>26</v>
      </c>
      <c r="F19" s="543">
        <v>16</v>
      </c>
      <c r="G19" s="565">
        <v>1.2497996929072434E-2</v>
      </c>
      <c r="H19" s="566">
        <v>1.2497996929072434E-2</v>
      </c>
      <c r="I19" s="568"/>
      <c r="J19" s="556"/>
      <c r="K19" s="556"/>
      <c r="L19" s="556"/>
      <c r="M19" s="556"/>
      <c r="N19" s="567"/>
      <c r="O19" s="545"/>
    </row>
    <row r="20" spans="2:15">
      <c r="B20" s="95"/>
      <c r="C20" s="96" t="s">
        <v>134</v>
      </c>
      <c r="D20" s="119" t="s">
        <v>135</v>
      </c>
      <c r="E20" s="564">
        <v>110</v>
      </c>
      <c r="F20" s="543">
        <v>67</v>
      </c>
      <c r="G20" s="565">
        <v>5.2335362140490817E-2</v>
      </c>
      <c r="H20" s="566">
        <v>5.2335362140490817E-2</v>
      </c>
      <c r="I20" s="569"/>
      <c r="J20" s="556"/>
      <c r="K20" s="556"/>
      <c r="L20" s="556"/>
      <c r="M20" s="556"/>
      <c r="N20" s="567"/>
      <c r="O20" s="545"/>
    </row>
    <row r="21" spans="2:15" ht="24">
      <c r="B21" s="95"/>
      <c r="C21" s="96" t="s">
        <v>259</v>
      </c>
      <c r="D21" s="225" t="s">
        <v>124</v>
      </c>
      <c r="E21" s="564">
        <v>78</v>
      </c>
      <c r="F21" s="543">
        <v>56</v>
      </c>
      <c r="G21" s="565">
        <v>4.3742989251753517E-2</v>
      </c>
      <c r="H21" s="566">
        <v>4.3742989251753517E-2</v>
      </c>
      <c r="I21" s="569"/>
      <c r="J21" s="556"/>
      <c r="K21" s="556"/>
      <c r="L21" s="556"/>
      <c r="M21" s="556"/>
      <c r="N21" s="567"/>
      <c r="O21" s="545"/>
    </row>
    <row r="22" spans="2:15" ht="24">
      <c r="B22" s="95"/>
      <c r="C22" s="226" t="s">
        <v>136</v>
      </c>
      <c r="D22" s="225" t="s">
        <v>117</v>
      </c>
      <c r="E22" s="564">
        <v>90</v>
      </c>
      <c r="F22" s="564">
        <v>54</v>
      </c>
      <c r="G22" s="565">
        <v>4.2180739635619462E-2</v>
      </c>
      <c r="H22" s="566">
        <v>4.2180739635619462E-2</v>
      </c>
      <c r="I22" s="569"/>
      <c r="J22" s="556"/>
      <c r="K22" s="556"/>
      <c r="L22" s="556"/>
      <c r="M22" s="556"/>
      <c r="N22" s="567"/>
      <c r="O22" s="545"/>
    </row>
    <row r="23" spans="2:15" ht="12.75" thickBot="1">
      <c r="B23" s="570" t="s">
        <v>118</v>
      </c>
      <c r="C23" s="555"/>
      <c r="D23" s="571"/>
      <c r="E23" s="549">
        <v>122</v>
      </c>
      <c r="F23" s="549">
        <v>92</v>
      </c>
      <c r="G23" s="572">
        <v>7.1863482342166496E-2</v>
      </c>
      <c r="H23" s="573">
        <v>7.1863482342166496E-2</v>
      </c>
      <c r="J23" s="556"/>
      <c r="K23" s="556"/>
      <c r="L23" s="556"/>
      <c r="M23" s="556"/>
      <c r="N23" s="567"/>
    </row>
    <row r="24" spans="2:15" ht="5.25" customHeight="1" thickTop="1" thickBot="1">
      <c r="B24" s="574"/>
      <c r="C24" s="575"/>
      <c r="D24" s="576"/>
      <c r="E24" s="577"/>
      <c r="F24" s="577"/>
      <c r="G24" s="578"/>
      <c r="H24" s="579"/>
      <c r="I24" s="555"/>
      <c r="J24" s="556"/>
      <c r="K24" s="556"/>
      <c r="L24" s="556"/>
      <c r="M24" s="556"/>
      <c r="N24" s="556"/>
    </row>
    <row r="25" spans="2:15" ht="12.75" thickBot="1"/>
    <row r="26" spans="2:15" ht="63.75" customHeight="1">
      <c r="B26" s="215" t="s">
        <v>260</v>
      </c>
      <c r="C26" s="216"/>
      <c r="D26" s="179"/>
      <c r="E26" s="217" t="s">
        <v>104</v>
      </c>
      <c r="F26" s="217" t="s">
        <v>105</v>
      </c>
      <c r="G26" s="217" t="s">
        <v>106</v>
      </c>
      <c r="H26" s="217" t="s">
        <v>107</v>
      </c>
      <c r="I26" s="88" t="s">
        <v>314</v>
      </c>
      <c r="J26" s="217" t="s">
        <v>108</v>
      </c>
      <c r="K26" s="217" t="s">
        <v>109</v>
      </c>
      <c r="L26" s="217" t="s">
        <v>110</v>
      </c>
      <c r="M26" s="217" t="s">
        <v>50</v>
      </c>
      <c r="N26" s="89" t="s">
        <v>111</v>
      </c>
    </row>
    <row r="27" spans="2:15">
      <c r="B27" s="218" t="s">
        <v>112</v>
      </c>
      <c r="C27" s="219"/>
      <c r="D27" s="182"/>
      <c r="E27" s="541">
        <v>1639</v>
      </c>
      <c r="F27" s="541">
        <v>805</v>
      </c>
      <c r="G27" s="541">
        <v>179</v>
      </c>
      <c r="H27" s="541">
        <v>174</v>
      </c>
      <c r="I27" s="541">
        <v>53</v>
      </c>
      <c r="J27" s="541">
        <v>196</v>
      </c>
      <c r="K27" s="541">
        <v>244</v>
      </c>
      <c r="L27" s="541">
        <v>104</v>
      </c>
      <c r="M27" s="541">
        <v>32</v>
      </c>
      <c r="N27" s="542">
        <v>1787</v>
      </c>
    </row>
    <row r="28" spans="2:15" ht="24">
      <c r="B28" s="95"/>
      <c r="C28" s="96" t="s">
        <v>52</v>
      </c>
      <c r="D28" s="119" t="s">
        <v>114</v>
      </c>
      <c r="E28" s="543">
        <v>705</v>
      </c>
      <c r="F28" s="543">
        <v>135</v>
      </c>
      <c r="G28" s="543">
        <v>61</v>
      </c>
      <c r="H28" s="543">
        <v>19</v>
      </c>
      <c r="I28" s="543">
        <v>0</v>
      </c>
      <c r="J28" s="543">
        <v>0</v>
      </c>
      <c r="K28" s="543">
        <v>0</v>
      </c>
      <c r="L28" s="543">
        <v>0</v>
      </c>
      <c r="M28" s="543">
        <v>0</v>
      </c>
      <c r="N28" s="544">
        <v>215</v>
      </c>
    </row>
    <row r="29" spans="2:15" ht="24">
      <c r="B29" s="95"/>
      <c r="C29" s="96" t="s">
        <v>142</v>
      </c>
      <c r="D29" s="119" t="s">
        <v>115</v>
      </c>
      <c r="E29" s="543">
        <v>0</v>
      </c>
      <c r="F29" s="543">
        <v>0</v>
      </c>
      <c r="G29" s="543">
        <v>-4</v>
      </c>
      <c r="H29" s="543">
        <v>0</v>
      </c>
      <c r="I29" s="543">
        <v>0</v>
      </c>
      <c r="J29" s="543">
        <v>-10</v>
      </c>
      <c r="K29" s="543">
        <v>-4</v>
      </c>
      <c r="L29" s="543">
        <v>-25</v>
      </c>
      <c r="M29" s="543">
        <v>0</v>
      </c>
      <c r="N29" s="544">
        <v>-43</v>
      </c>
    </row>
    <row r="30" spans="2:15">
      <c r="B30" s="95"/>
      <c r="C30" s="96" t="s">
        <v>134</v>
      </c>
      <c r="D30" s="119" t="s">
        <v>135</v>
      </c>
      <c r="E30" s="543">
        <v>-1</v>
      </c>
      <c r="F30" s="543">
        <v>0</v>
      </c>
      <c r="G30" s="543">
        <v>0</v>
      </c>
      <c r="H30" s="543">
        <v>0</v>
      </c>
      <c r="I30" s="543">
        <v>0</v>
      </c>
      <c r="J30" s="543">
        <v>-10</v>
      </c>
      <c r="K30" s="543">
        <v>-3</v>
      </c>
      <c r="L30" s="543">
        <v>-3</v>
      </c>
      <c r="M30" s="543">
        <v>0</v>
      </c>
      <c r="N30" s="544">
        <v>-16</v>
      </c>
    </row>
    <row r="31" spans="2:15" ht="24">
      <c r="B31" s="95"/>
      <c r="C31" s="96" t="s">
        <v>57</v>
      </c>
      <c r="D31" s="225" t="s">
        <v>124</v>
      </c>
      <c r="E31" s="543">
        <v>0</v>
      </c>
      <c r="F31" s="543">
        <v>0</v>
      </c>
      <c r="G31" s="543">
        <v>0</v>
      </c>
      <c r="H31" s="543">
        <v>0</v>
      </c>
      <c r="I31" s="543">
        <v>0</v>
      </c>
      <c r="J31" s="543">
        <v>0</v>
      </c>
      <c r="K31" s="543">
        <v>0</v>
      </c>
      <c r="L31" s="543">
        <v>-11</v>
      </c>
      <c r="M31" s="543">
        <v>-32</v>
      </c>
      <c r="N31" s="544">
        <v>-43</v>
      </c>
    </row>
    <row r="32" spans="2:15" ht="24">
      <c r="B32" s="95"/>
      <c r="C32" s="226" t="s">
        <v>136</v>
      </c>
      <c r="D32" s="225" t="s">
        <v>117</v>
      </c>
      <c r="E32" s="543">
        <v>0</v>
      </c>
      <c r="F32" s="543">
        <v>-7</v>
      </c>
      <c r="G32" s="543">
        <v>-71</v>
      </c>
      <c r="H32" s="543">
        <v>-118</v>
      </c>
      <c r="I32" s="543">
        <v>0</v>
      </c>
      <c r="J32" s="543">
        <v>0</v>
      </c>
      <c r="K32" s="543">
        <v>-4</v>
      </c>
      <c r="L32" s="543">
        <v>-1</v>
      </c>
      <c r="M32" s="543">
        <v>0</v>
      </c>
      <c r="N32" s="544">
        <v>-201</v>
      </c>
    </row>
    <row r="33" spans="2:14" ht="12.75" thickBot="1">
      <c r="B33" s="546" t="s">
        <v>118</v>
      </c>
      <c r="C33" s="547"/>
      <c r="D33" s="548"/>
      <c r="E33" s="549">
        <v>2343</v>
      </c>
      <c r="F33" s="549">
        <v>933</v>
      </c>
      <c r="G33" s="549">
        <v>165</v>
      </c>
      <c r="H33" s="549">
        <v>75</v>
      </c>
      <c r="I33" s="549">
        <v>53</v>
      </c>
      <c r="J33" s="549">
        <v>176</v>
      </c>
      <c r="K33" s="549">
        <v>233</v>
      </c>
      <c r="L33" s="549">
        <v>64</v>
      </c>
      <c r="M33" s="549">
        <v>0</v>
      </c>
      <c r="N33" s="550">
        <v>1699</v>
      </c>
    </row>
    <row r="34" spans="2:14" ht="4.5" customHeight="1" thickTop="1" thickBot="1">
      <c r="B34" s="551"/>
      <c r="C34" s="552"/>
      <c r="D34" s="553"/>
      <c r="E34" s="552"/>
      <c r="F34" s="552"/>
      <c r="G34" s="552"/>
      <c r="H34" s="552"/>
      <c r="I34" s="552"/>
      <c r="J34" s="552"/>
      <c r="K34" s="552"/>
      <c r="L34" s="552"/>
      <c r="M34" s="552"/>
      <c r="N34" s="554"/>
    </row>
    <row r="35" spans="2:14" ht="12.75" thickBot="1">
      <c r="B35" s="555"/>
      <c r="C35" s="556"/>
      <c r="D35" s="557"/>
      <c r="E35" s="556"/>
      <c r="F35" s="556"/>
      <c r="G35" s="556"/>
      <c r="H35" s="556"/>
      <c r="I35" s="556"/>
      <c r="J35" s="556"/>
      <c r="K35" s="556"/>
      <c r="L35" s="556"/>
      <c r="M35" s="556"/>
      <c r="N35" s="556"/>
    </row>
    <row r="36" spans="2:14" ht="48">
      <c r="B36" s="239" t="s">
        <v>260</v>
      </c>
      <c r="C36" s="240"/>
      <c r="D36" s="113"/>
      <c r="E36" s="241" t="s">
        <v>119</v>
      </c>
      <c r="F36" s="241" t="s">
        <v>120</v>
      </c>
      <c r="G36" s="241" t="s">
        <v>121</v>
      </c>
      <c r="H36" s="115" t="s">
        <v>122</v>
      </c>
      <c r="I36" s="116"/>
      <c r="J36" s="242"/>
      <c r="K36" s="558"/>
      <c r="L36" s="555"/>
      <c r="M36" s="555"/>
      <c r="N36" s="555"/>
    </row>
    <row r="37" spans="2:14">
      <c r="B37" s="95" t="s">
        <v>112</v>
      </c>
      <c r="C37" s="222"/>
      <c r="D37" s="119"/>
      <c r="E37" s="559">
        <v>-148</v>
      </c>
      <c r="F37" s="541">
        <v>-72</v>
      </c>
      <c r="G37" s="560">
        <v>-5.4298642533936653E-2</v>
      </c>
      <c r="H37" s="561">
        <v>-5.4298642533936653E-2</v>
      </c>
      <c r="I37" s="562"/>
      <c r="J37" s="556"/>
      <c r="K37" s="556"/>
      <c r="L37" s="556"/>
      <c r="M37" s="556"/>
      <c r="N37" s="563"/>
    </row>
    <row r="38" spans="2:14" ht="24">
      <c r="B38" s="95"/>
      <c r="C38" s="96" t="s">
        <v>52</v>
      </c>
      <c r="D38" s="119" t="s">
        <v>114</v>
      </c>
      <c r="E38" s="564">
        <v>490</v>
      </c>
      <c r="F38" s="543">
        <v>313</v>
      </c>
      <c r="G38" s="565">
        <v>0.23611431692663709</v>
      </c>
      <c r="H38" s="566">
        <v>0.22611431692663708</v>
      </c>
      <c r="I38" s="562"/>
      <c r="J38" s="556"/>
      <c r="K38" s="556"/>
      <c r="L38" s="556"/>
      <c r="M38" s="556"/>
      <c r="N38" s="567"/>
    </row>
    <row r="39" spans="2:14" ht="24">
      <c r="B39" s="95"/>
      <c r="C39" s="96" t="s">
        <v>142</v>
      </c>
      <c r="D39" s="119" t="s">
        <v>115</v>
      </c>
      <c r="E39" s="564">
        <v>43</v>
      </c>
      <c r="F39" s="543">
        <v>26</v>
      </c>
      <c r="G39" s="565">
        <v>1.9613329840551322E-2</v>
      </c>
      <c r="H39" s="566">
        <v>1.9613329840551322E-2</v>
      </c>
      <c r="I39" s="568"/>
      <c r="J39" s="556"/>
      <c r="K39" s="556"/>
      <c r="L39" s="556"/>
      <c r="M39" s="556"/>
      <c r="N39" s="567"/>
    </row>
    <row r="40" spans="2:14">
      <c r="B40" s="95"/>
      <c r="C40" s="96" t="s">
        <v>134</v>
      </c>
      <c r="D40" s="119" t="s">
        <v>135</v>
      </c>
      <c r="E40" s="564">
        <v>15</v>
      </c>
      <c r="F40" s="543">
        <v>11</v>
      </c>
      <c r="G40" s="565">
        <v>8.2979472402332517E-3</v>
      </c>
      <c r="H40" s="566">
        <v>8.2979472402332517E-3</v>
      </c>
      <c r="I40" s="569"/>
      <c r="J40" s="556"/>
      <c r="K40" s="556"/>
      <c r="L40" s="556"/>
      <c r="M40" s="556"/>
      <c r="N40" s="567"/>
    </row>
    <row r="41" spans="2:14" ht="24">
      <c r="B41" s="95"/>
      <c r="C41" s="96" t="s">
        <v>57</v>
      </c>
      <c r="D41" s="225" t="s">
        <v>124</v>
      </c>
      <c r="E41" s="564">
        <v>43</v>
      </c>
      <c r="F41" s="543">
        <v>30</v>
      </c>
      <c r="G41" s="565">
        <v>2.2630765200636144E-2</v>
      </c>
      <c r="H41" s="566">
        <v>2.2630765200636144E-2</v>
      </c>
      <c r="I41" s="569"/>
      <c r="J41" s="556"/>
      <c r="K41" s="556"/>
      <c r="L41" s="556"/>
      <c r="M41" s="556"/>
      <c r="N41" s="567"/>
    </row>
    <row r="42" spans="2:14" ht="24">
      <c r="B42" s="95"/>
      <c r="C42" s="226" t="s">
        <v>136</v>
      </c>
      <c r="D42" s="225" t="s">
        <v>117</v>
      </c>
      <c r="E42" s="564">
        <v>201</v>
      </c>
      <c r="F42" s="564">
        <v>121</v>
      </c>
      <c r="G42" s="565">
        <v>9.1277419642565777E-2</v>
      </c>
      <c r="H42" s="566">
        <v>9.1277419642565777E-2</v>
      </c>
      <c r="I42" s="569"/>
      <c r="J42" s="556"/>
      <c r="K42" s="556"/>
      <c r="L42" s="556"/>
      <c r="M42" s="556"/>
      <c r="N42" s="567"/>
    </row>
    <row r="43" spans="2:14" ht="12.75" thickBot="1">
      <c r="B43" s="570" t="s">
        <v>118</v>
      </c>
      <c r="C43" s="555"/>
      <c r="D43" s="571"/>
      <c r="E43" s="549">
        <v>644</v>
      </c>
      <c r="F43" s="549">
        <v>429</v>
      </c>
      <c r="G43" s="572">
        <v>0.32361994236909686</v>
      </c>
      <c r="H43" s="573">
        <v>0.31361994236909685</v>
      </c>
      <c r="J43" s="556"/>
      <c r="K43" s="556"/>
      <c r="L43" s="556"/>
      <c r="M43" s="556"/>
      <c r="N43" s="567"/>
    </row>
    <row r="44" spans="2:14" ht="4.5" customHeight="1" thickTop="1" thickBot="1">
      <c r="B44" s="574"/>
      <c r="C44" s="575"/>
      <c r="D44" s="576"/>
      <c r="E44" s="577"/>
      <c r="F44" s="577"/>
      <c r="G44" s="578"/>
      <c r="H44" s="579"/>
      <c r="I44" s="555"/>
      <c r="J44" s="556"/>
      <c r="K44" s="556"/>
      <c r="L44" s="556"/>
      <c r="M44" s="556"/>
      <c r="N44" s="556"/>
    </row>
    <row r="45" spans="2:14">
      <c r="B45" s="556"/>
      <c r="C45" s="556"/>
      <c r="D45" s="557"/>
      <c r="E45" s="556"/>
      <c r="F45" s="556"/>
      <c r="G45" s="556"/>
      <c r="H45" s="556"/>
      <c r="I45" s="556"/>
      <c r="J45" s="556"/>
      <c r="K45" s="556"/>
      <c r="L45" s="556"/>
      <c r="M45" s="556"/>
      <c r="N45" s="556"/>
    </row>
    <row r="46" spans="2:14">
      <c r="B46" s="556"/>
      <c r="C46" s="556"/>
      <c r="D46" s="557"/>
      <c r="E46" s="556"/>
      <c r="F46" s="556"/>
      <c r="G46" s="556"/>
      <c r="H46" s="556"/>
      <c r="I46" s="556"/>
      <c r="J46" s="556"/>
      <c r="K46" s="556"/>
      <c r="L46" s="556"/>
      <c r="M46" s="556"/>
      <c r="N46" s="556"/>
    </row>
    <row r="47" spans="2:14">
      <c r="C47" s="580" t="s">
        <v>129</v>
      </c>
    </row>
    <row r="48" spans="2:14">
      <c r="B48" s="556"/>
      <c r="C48" s="712" t="s">
        <v>137</v>
      </c>
      <c r="D48" s="712"/>
      <c r="E48" s="712"/>
      <c r="F48" s="712"/>
      <c r="G48" s="712"/>
      <c r="H48" s="712"/>
      <c r="I48" s="712"/>
      <c r="J48" s="712"/>
      <c r="K48" s="712"/>
      <c r="L48" s="712"/>
      <c r="M48" s="712"/>
      <c r="N48" s="712"/>
    </row>
    <row r="49" spans="2:14" s="582" customFormat="1" ht="12.75" customHeight="1">
      <c r="B49" s="581"/>
      <c r="C49" s="712" t="s">
        <v>261</v>
      </c>
      <c r="D49" s="712"/>
      <c r="E49" s="712"/>
      <c r="F49" s="712"/>
      <c r="G49" s="712"/>
      <c r="H49" s="712"/>
      <c r="I49" s="712"/>
      <c r="J49" s="712"/>
      <c r="K49" s="712"/>
      <c r="L49" s="712"/>
      <c r="M49" s="712"/>
      <c r="N49" s="712"/>
    </row>
    <row r="50" spans="2:14" s="582" customFormat="1">
      <c r="B50" s="207"/>
      <c r="C50" s="712" t="s">
        <v>139</v>
      </c>
      <c r="D50" s="712"/>
      <c r="E50" s="712"/>
      <c r="F50" s="712"/>
      <c r="G50" s="712"/>
      <c r="H50" s="712"/>
      <c r="I50" s="712"/>
      <c r="J50" s="712"/>
      <c r="K50" s="712"/>
      <c r="L50" s="712"/>
      <c r="M50" s="712"/>
      <c r="N50" s="712"/>
    </row>
    <row r="51" spans="2:14" s="582" customFormat="1" ht="12.75" customHeight="1">
      <c r="B51" s="581"/>
      <c r="C51" s="712" t="s">
        <v>140</v>
      </c>
      <c r="D51" s="712"/>
      <c r="E51" s="712"/>
      <c r="F51" s="712"/>
      <c r="G51" s="712"/>
      <c r="H51" s="712"/>
      <c r="I51" s="712"/>
      <c r="J51" s="712"/>
      <c r="K51" s="712"/>
      <c r="L51" s="712"/>
      <c r="M51" s="712"/>
      <c r="N51" s="712"/>
    </row>
    <row r="52" spans="2:14" s="582" customFormat="1" ht="12.75" customHeight="1">
      <c r="B52" s="581"/>
      <c r="C52" s="580"/>
      <c r="D52" s="583"/>
      <c r="E52" s="583"/>
      <c r="F52" s="583"/>
      <c r="G52" s="583"/>
      <c r="H52" s="583"/>
      <c r="I52" s="583"/>
      <c r="J52" s="583"/>
      <c r="K52" s="583"/>
      <c r="L52" s="583"/>
      <c r="M52" s="583"/>
      <c r="N52" s="318"/>
    </row>
    <row r="53" spans="2:14" s="582" customFormat="1" ht="24" customHeight="1">
      <c r="B53" s="581"/>
      <c r="C53" s="712" t="s">
        <v>262</v>
      </c>
      <c r="D53" s="712"/>
      <c r="E53" s="712"/>
      <c r="F53" s="712"/>
      <c r="G53" s="712"/>
      <c r="H53" s="712"/>
      <c r="I53" s="712"/>
      <c r="J53" s="712"/>
      <c r="K53" s="712"/>
      <c r="L53" s="712"/>
      <c r="M53" s="712"/>
      <c r="N53" s="712"/>
    </row>
    <row r="54" spans="2:14" s="582" customFormat="1" ht="12.75" customHeight="1">
      <c r="B54" s="584"/>
      <c r="C54" s="318"/>
      <c r="D54" s="585"/>
      <c r="E54" s="585"/>
      <c r="F54" s="585"/>
      <c r="G54" s="585"/>
      <c r="H54" s="585"/>
      <c r="I54" s="585"/>
      <c r="J54" s="585"/>
      <c r="K54" s="585"/>
      <c r="L54" s="585"/>
      <c r="M54" s="585"/>
      <c r="N54" s="318"/>
    </row>
  </sheetData>
  <mergeCells count="8">
    <mergeCell ref="C51:N51"/>
    <mergeCell ref="C53:N53"/>
    <mergeCell ref="B1:N1"/>
    <mergeCell ref="B2:N2"/>
    <mergeCell ref="B3:N3"/>
    <mergeCell ref="C48:N48"/>
    <mergeCell ref="C49:N49"/>
    <mergeCell ref="C50:N50"/>
  </mergeCells>
  <pageMargins left="0.7" right="0.7" top="0.25" bottom="0.44" header="0.3" footer="0.3"/>
  <pageSetup scale="57" orientation="landscape" r:id="rId1"/>
  <headerFooter>
    <oddFooter>&amp;LActivision Blizzard, Inc.&amp;R&amp;P of &amp; 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J116"/>
  <sheetViews>
    <sheetView showGridLines="0" zoomScaleNormal="100" zoomScaleSheetLayoutView="100" workbookViewId="0">
      <pane xSplit="4" ySplit="8" topLeftCell="E102" activePane="bottomRight" state="frozen"/>
      <selection sqref="A1:AE1"/>
      <selection pane="topRight" sqref="A1:AE1"/>
      <selection pane="bottomLeft" sqref="A1:AE1"/>
      <selection pane="bottomRight" activeCell="J121" sqref="J121"/>
    </sheetView>
  </sheetViews>
  <sheetFormatPr defaultColWidth="8.85546875" defaultRowHeight="15"/>
  <cols>
    <col min="1" max="3" width="2.7109375" style="5" customWidth="1"/>
    <col min="4" max="4" width="45.7109375" style="5" customWidth="1"/>
    <col min="5" max="6" width="9.7109375" style="27" customWidth="1"/>
    <col min="7" max="9" width="9.7109375" style="48" customWidth="1"/>
    <col min="10" max="10" width="9.7109375" style="27" customWidth="1"/>
    <col min="11" max="12" width="9.7109375" style="48" customWidth="1"/>
    <col min="13" max="30" width="9.7109375" style="43" customWidth="1"/>
    <col min="31" max="31" width="1.42578125" style="27" customWidth="1"/>
    <col min="32" max="16384" width="8.85546875" style="27"/>
  </cols>
  <sheetData>
    <row r="1" spans="1:36" s="31" customFormat="1" ht="15" customHeight="1" collapsed="1">
      <c r="A1" s="685" t="s">
        <v>42</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row>
    <row r="2" spans="1:36" s="31" customFormat="1" ht="15" customHeight="1">
      <c r="A2" s="685" t="s">
        <v>222</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row>
    <row r="3" spans="1:36" s="31" customFormat="1" ht="15" customHeight="1">
      <c r="A3" s="685" t="s">
        <v>24</v>
      </c>
      <c r="B3" s="685"/>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30"/>
      <c r="AJ3" s="30"/>
    </row>
    <row r="4" spans="1:36" s="58" customFormat="1" ht="5.25" customHeight="1">
      <c r="A4" s="56"/>
      <c r="B4" s="57"/>
      <c r="C4" s="57"/>
      <c r="D4" s="57"/>
      <c r="E4" s="57"/>
      <c r="F4" s="57"/>
      <c r="G4" s="484"/>
      <c r="H4" s="484"/>
      <c r="I4" s="484"/>
      <c r="J4" s="57"/>
      <c r="K4" s="484"/>
      <c r="L4" s="484"/>
      <c r="M4" s="484"/>
      <c r="N4" s="57"/>
      <c r="O4" s="57"/>
      <c r="P4" s="57"/>
      <c r="Q4" s="57"/>
      <c r="R4" s="57"/>
      <c r="S4" s="57"/>
      <c r="T4" s="57"/>
      <c r="U4" s="57"/>
      <c r="V4" s="57"/>
      <c r="W4" s="57"/>
      <c r="X4" s="57"/>
      <c r="Y4" s="57"/>
      <c r="Z4" s="57"/>
      <c r="AA4" s="57"/>
      <c r="AB4" s="57"/>
      <c r="AC4" s="57"/>
      <c r="AD4" s="57"/>
      <c r="AF4" s="453"/>
      <c r="AJ4" s="453"/>
    </row>
    <row r="5" spans="1:36">
      <c r="A5" s="20" t="s">
        <v>151</v>
      </c>
    </row>
    <row r="6" spans="1:36" s="388" customFormat="1" ht="12.75">
      <c r="A6" s="495"/>
      <c r="B6" s="495"/>
      <c r="C6" s="495"/>
      <c r="D6" s="495"/>
      <c r="E6" s="390" t="s">
        <v>4</v>
      </c>
      <c r="F6" s="390" t="s">
        <v>5</v>
      </c>
      <c r="G6" s="390" t="s">
        <v>6</v>
      </c>
      <c r="H6" s="390" t="s">
        <v>3</v>
      </c>
      <c r="I6" s="390" t="s">
        <v>4</v>
      </c>
      <c r="J6" s="390" t="s">
        <v>5</v>
      </c>
      <c r="K6" s="390" t="s">
        <v>6</v>
      </c>
      <c r="L6" s="390" t="s">
        <v>3</v>
      </c>
      <c r="M6" s="390" t="s">
        <v>4</v>
      </c>
      <c r="N6" s="390" t="s">
        <v>5</v>
      </c>
      <c r="O6" s="390" t="s">
        <v>6</v>
      </c>
      <c r="P6" s="390" t="s">
        <v>3</v>
      </c>
      <c r="Q6" s="390" t="s">
        <v>4</v>
      </c>
      <c r="R6" s="390" t="s">
        <v>5</v>
      </c>
      <c r="S6" s="390" t="s">
        <v>6</v>
      </c>
      <c r="T6" s="390" t="s">
        <v>3</v>
      </c>
      <c r="U6" s="390" t="s">
        <v>4</v>
      </c>
      <c r="V6" s="390" t="s">
        <v>5</v>
      </c>
      <c r="W6" s="390" t="s">
        <v>6</v>
      </c>
      <c r="X6" s="390" t="s">
        <v>3</v>
      </c>
      <c r="Y6" s="390" t="s">
        <v>4</v>
      </c>
      <c r="Z6" s="390" t="s">
        <v>5</v>
      </c>
      <c r="AA6" s="390" t="s">
        <v>6</v>
      </c>
      <c r="AB6" s="390" t="s">
        <v>3</v>
      </c>
      <c r="AC6" s="390" t="s">
        <v>4</v>
      </c>
      <c r="AD6" s="390" t="s">
        <v>5</v>
      </c>
    </row>
    <row r="7" spans="1:36" s="388" customFormat="1" ht="12.75">
      <c r="A7" s="494"/>
      <c r="B7" s="494"/>
      <c r="C7" s="494"/>
      <c r="D7" s="494"/>
      <c r="E7" s="390" t="s">
        <v>44</v>
      </c>
      <c r="F7" s="390" t="s">
        <v>44</v>
      </c>
      <c r="G7" s="390" t="s">
        <v>44</v>
      </c>
      <c r="H7" s="390" t="s">
        <v>45</v>
      </c>
      <c r="I7" s="390" t="s">
        <v>45</v>
      </c>
      <c r="J7" s="390" t="s">
        <v>45</v>
      </c>
      <c r="K7" s="390" t="s">
        <v>45</v>
      </c>
      <c r="L7" s="390" t="s">
        <v>46</v>
      </c>
      <c r="M7" s="390" t="s">
        <v>46</v>
      </c>
      <c r="N7" s="390" t="s">
        <v>46</v>
      </c>
      <c r="O7" s="390" t="s">
        <v>46</v>
      </c>
      <c r="P7" s="390" t="s">
        <v>237</v>
      </c>
      <c r="Q7" s="390" t="s">
        <v>237</v>
      </c>
      <c r="R7" s="390" t="s">
        <v>237</v>
      </c>
      <c r="S7" s="390" t="s">
        <v>237</v>
      </c>
      <c r="T7" s="390" t="s">
        <v>264</v>
      </c>
      <c r="U7" s="390" t="s">
        <v>264</v>
      </c>
      <c r="V7" s="390" t="s">
        <v>264</v>
      </c>
      <c r="W7" s="390" t="s">
        <v>264</v>
      </c>
      <c r="X7" s="390" t="s">
        <v>307</v>
      </c>
      <c r="Y7" s="390" t="s">
        <v>307</v>
      </c>
      <c r="Z7" s="390" t="s">
        <v>307</v>
      </c>
      <c r="AA7" s="390" t="s">
        <v>307</v>
      </c>
      <c r="AB7" s="390" t="s">
        <v>332</v>
      </c>
      <c r="AC7" s="390" t="s">
        <v>332</v>
      </c>
      <c r="AD7" s="390" t="s">
        <v>332</v>
      </c>
    </row>
    <row r="8" spans="1:36" s="388" customFormat="1" ht="12.75">
      <c r="E8" s="534" t="s">
        <v>218</v>
      </c>
      <c r="F8" s="534" t="s">
        <v>218</v>
      </c>
      <c r="G8" s="534" t="s">
        <v>218</v>
      </c>
      <c r="H8" s="534" t="s">
        <v>218</v>
      </c>
      <c r="I8" s="534" t="s">
        <v>218</v>
      </c>
      <c r="J8" s="534" t="s">
        <v>218</v>
      </c>
      <c r="K8" s="534" t="s">
        <v>218</v>
      </c>
      <c r="L8" s="534" t="s">
        <v>218</v>
      </c>
      <c r="M8" s="534" t="s">
        <v>218</v>
      </c>
      <c r="N8" s="534" t="s">
        <v>218</v>
      </c>
      <c r="O8" s="534" t="s">
        <v>218</v>
      </c>
      <c r="P8" s="534" t="s">
        <v>218</v>
      </c>
      <c r="Q8" s="534" t="s">
        <v>218</v>
      </c>
      <c r="R8" s="534" t="s">
        <v>218</v>
      </c>
      <c r="S8" s="534" t="s">
        <v>218</v>
      </c>
      <c r="T8" s="534" t="s">
        <v>218</v>
      </c>
      <c r="U8" s="534" t="s">
        <v>218</v>
      </c>
      <c r="V8" s="534" t="s">
        <v>218</v>
      </c>
      <c r="W8" s="534" t="s">
        <v>218</v>
      </c>
      <c r="X8" s="534" t="s">
        <v>218</v>
      </c>
      <c r="Y8" s="534" t="s">
        <v>218</v>
      </c>
      <c r="Z8" s="534" t="s">
        <v>218</v>
      </c>
      <c r="AA8" s="534" t="s">
        <v>218</v>
      </c>
      <c r="AB8" s="534" t="s">
        <v>218</v>
      </c>
      <c r="AC8" s="534" t="s">
        <v>218</v>
      </c>
      <c r="AD8" s="534" t="s">
        <v>218</v>
      </c>
      <c r="AE8" s="535"/>
    </row>
    <row r="9" spans="1:36" ht="5.25" customHeight="1">
      <c r="A9" s="6"/>
      <c r="B9" s="6"/>
      <c r="C9" s="6"/>
      <c r="D9" s="6"/>
      <c r="E9" s="503"/>
      <c r="F9" s="503"/>
      <c r="G9" s="503"/>
      <c r="H9" s="503"/>
      <c r="I9" s="503"/>
      <c r="J9" s="503"/>
      <c r="K9" s="503"/>
      <c r="L9" s="503"/>
      <c r="M9" s="504"/>
      <c r="N9" s="504"/>
      <c r="O9" s="504"/>
      <c r="P9" s="504"/>
      <c r="Q9" s="504"/>
      <c r="R9" s="504"/>
      <c r="S9" s="504"/>
      <c r="T9" s="504"/>
      <c r="U9" s="504"/>
      <c r="V9" s="504"/>
      <c r="W9" s="504"/>
      <c r="X9" s="504"/>
      <c r="Y9" s="504"/>
      <c r="Z9" s="504"/>
      <c r="AA9" s="504"/>
      <c r="AB9" s="504"/>
      <c r="AC9" s="504"/>
      <c r="AD9" s="504"/>
    </row>
    <row r="10" spans="1:36" ht="12.75">
      <c r="A10" s="8"/>
      <c r="B10" s="1" t="s">
        <v>204</v>
      </c>
      <c r="C10" s="9"/>
      <c r="D10" s="8"/>
      <c r="E10" s="13">
        <f>SUM('QTD P&amp;L'!E9:H9)</f>
        <v>4369</v>
      </c>
      <c r="F10" s="13">
        <f>SUM('QTD P&amp;L'!F9:I9)</f>
        <v>4361</v>
      </c>
      <c r="G10" s="392">
        <v>4279</v>
      </c>
      <c r="H10" s="13">
        <f>SUM('QTD P&amp;L'!H9:K9)</f>
        <v>4606</v>
      </c>
      <c r="I10" s="13">
        <f>SUM('QTD P&amp;L'!I9:L9)</f>
        <v>4535</v>
      </c>
      <c r="J10" s="13">
        <f>SUM('QTD P&amp;L'!J9:M9)</f>
        <v>4577</v>
      </c>
      <c r="K10" s="392">
        <v>4447</v>
      </c>
      <c r="L10" s="13">
        <f>SUM('QTD P&amp;L'!L9:O9)</f>
        <v>4588</v>
      </c>
      <c r="M10" s="13">
        <f>SUM('QTD P&amp;L'!M9:P9)</f>
        <v>4767</v>
      </c>
      <c r="N10" s="13">
        <f>SUM('QTD P&amp;L'!N9:Q9)</f>
        <v>4776</v>
      </c>
      <c r="O10" s="13">
        <v>4755</v>
      </c>
      <c r="P10" s="13">
        <f>SUM('QTD P&amp;L'!P9:S9)</f>
        <v>4479</v>
      </c>
      <c r="Q10" s="13">
        <f>SUM('QTD P&amp;L'!Q9:T9)</f>
        <v>4408</v>
      </c>
      <c r="R10" s="13">
        <f>SUM('QTD P&amp;L'!R9:U9)</f>
        <v>4495</v>
      </c>
      <c r="S10" s="13">
        <v>4856</v>
      </c>
      <c r="T10" s="13">
        <f>SUM('QTD P&amp;L'!T9:W9)</f>
        <v>5008</v>
      </c>
      <c r="U10" s="13">
        <f>SUM('QTD P&amp;L'!U9:X9)</f>
        <v>4983</v>
      </c>
      <c r="V10" s="13">
        <f>SUM('QTD P&amp;L'!V9:Y9)</f>
        <v>4833</v>
      </c>
      <c r="W10" s="13">
        <v>4583</v>
      </c>
      <c r="X10" s="13">
        <f>SUM('QTD P&amp;L'!X9:AA9)</f>
        <v>4370</v>
      </c>
      <c r="Y10" s="13">
        <f>SUM('QTD P&amp;L'!Y9:AB9)</f>
        <v>4290</v>
      </c>
      <c r="Z10" s="13">
        <f>SUM('QTD P&amp;L'!Z9:AC9)</f>
        <v>4352</v>
      </c>
      <c r="AA10" s="13">
        <v>4408</v>
      </c>
      <c r="AB10" s="13">
        <f>SUM('QTD P&amp;L'!AB9:AE9)</f>
        <v>4576</v>
      </c>
      <c r="AC10" s="13">
        <f>SUM('QTD P&amp;L'!AC9:AF9)</f>
        <v>4650</v>
      </c>
      <c r="AD10" s="13">
        <f>SUM('QTD P&amp;L'!AD9:AG9)</f>
        <v>4887</v>
      </c>
      <c r="AF10" s="674"/>
    </row>
    <row r="11" spans="1:36" ht="12.75">
      <c r="A11" s="8"/>
      <c r="B11" s="1" t="s">
        <v>203</v>
      </c>
      <c r="C11" s="9"/>
      <c r="D11" s="8"/>
      <c r="E11" s="485"/>
      <c r="F11" s="13"/>
      <c r="G11" s="485"/>
      <c r="H11" s="485"/>
      <c r="I11" s="485"/>
      <c r="J11" s="13"/>
      <c r="K11" s="485"/>
      <c r="L11" s="485"/>
      <c r="M11" s="485"/>
      <c r="N11" s="13"/>
      <c r="O11" s="13"/>
      <c r="P11" s="13"/>
      <c r="Q11" s="13"/>
      <c r="R11" s="13"/>
      <c r="S11" s="13"/>
      <c r="T11" s="13"/>
      <c r="U11" s="13"/>
      <c r="V11" s="13"/>
      <c r="W11" s="13"/>
      <c r="X11" s="13"/>
      <c r="Y11" s="13"/>
      <c r="Z11" s="13"/>
      <c r="AA11" s="13"/>
      <c r="AB11" s="13"/>
      <c r="AC11" s="13"/>
      <c r="AD11" s="13"/>
      <c r="AF11" s="674"/>
    </row>
    <row r="12" spans="1:36" s="48" customFormat="1" ht="12.75">
      <c r="A12" s="10"/>
      <c r="B12" s="2"/>
      <c r="C12" s="2" t="s">
        <v>214</v>
      </c>
      <c r="D12" s="10"/>
      <c r="E12" s="47">
        <f>SUM('QTD P&amp;L'!E11:H11)</f>
        <v>1661</v>
      </c>
      <c r="F12" s="47">
        <f>SUM('QTD P&amp;L'!F11:I11)</f>
        <v>1567</v>
      </c>
      <c r="G12" s="47">
        <v>1432</v>
      </c>
      <c r="H12" s="47">
        <f>SUM('QTD P&amp;L'!H11:K11)</f>
        <v>1473</v>
      </c>
      <c r="I12" s="47">
        <f>SUM('QTD P&amp;L'!I11:L11)</f>
        <v>1427</v>
      </c>
      <c r="J12" s="47">
        <f>SUM('QTD P&amp;L'!J11:M11)</f>
        <v>1436</v>
      </c>
      <c r="K12" s="47">
        <v>1350</v>
      </c>
      <c r="L12" s="47">
        <f>SUM('QTD P&amp;L'!L11:O11)</f>
        <v>1313</v>
      </c>
      <c r="M12" s="47">
        <f>SUM('QTD P&amp;L'!M11:P11)</f>
        <v>1291</v>
      </c>
      <c r="N12" s="47">
        <f>SUM('QTD P&amp;L'!N11:Q11)</f>
        <v>1235</v>
      </c>
      <c r="O12" s="47">
        <v>1134</v>
      </c>
      <c r="P12" s="47">
        <f>SUM('QTD P&amp;L'!P11:S11)</f>
        <v>1091</v>
      </c>
      <c r="Q12" s="47">
        <f>SUM('QTD P&amp;L'!Q11:T11)</f>
        <v>1107</v>
      </c>
      <c r="R12" s="47">
        <f>SUM('QTD P&amp;L'!R11:U11)</f>
        <v>1115</v>
      </c>
      <c r="S12" s="47">
        <v>1116</v>
      </c>
      <c r="T12" s="47">
        <f>SUM('QTD P&amp;L'!T11:W11)</f>
        <v>1118</v>
      </c>
      <c r="U12" s="47">
        <f>SUM('QTD P&amp;L'!U11:X11)</f>
        <v>1068</v>
      </c>
      <c r="V12" s="47">
        <f>SUM('QTD P&amp;L'!V11:Y11)</f>
        <v>1033</v>
      </c>
      <c r="W12" s="47">
        <v>1053</v>
      </c>
      <c r="X12" s="47">
        <f>SUM('QTD P&amp;L'!X11:AA11)</f>
        <v>1017</v>
      </c>
      <c r="Y12" s="47">
        <f>SUM('QTD P&amp;L'!Y11:AB11)</f>
        <v>1025</v>
      </c>
      <c r="Z12" s="47">
        <f>SUM('QTD P&amp;L'!Z11:AC11)</f>
        <v>1070</v>
      </c>
      <c r="AA12" s="47">
        <v>999</v>
      </c>
      <c r="AB12" s="47">
        <f>SUM('QTD P&amp;L'!AB11:AE11)</f>
        <v>984</v>
      </c>
      <c r="AC12" s="47">
        <f>SUM('QTD P&amp;L'!AC11:AF11)</f>
        <v>953</v>
      </c>
      <c r="AD12" s="47">
        <f>SUM('QTD P&amp;L'!AD11:AG11)</f>
        <v>992</v>
      </c>
      <c r="AF12" s="674"/>
    </row>
    <row r="13" spans="1:36" s="48" customFormat="1" ht="12.75">
      <c r="A13" s="10"/>
      <c r="B13" s="2"/>
      <c r="C13" s="2" t="s">
        <v>313</v>
      </c>
      <c r="D13" s="10"/>
      <c r="E13" s="47">
        <f>SUM('QTD P&amp;L'!E12:H12)</f>
        <v>199</v>
      </c>
      <c r="F13" s="47">
        <f>SUM('QTD P&amp;L'!F12:I12)</f>
        <v>211</v>
      </c>
      <c r="G13" s="47">
        <v>212</v>
      </c>
      <c r="H13" s="47">
        <f>SUM('QTD P&amp;L'!H12:K12)</f>
        <v>218</v>
      </c>
      <c r="I13" s="47">
        <f>SUM('QTD P&amp;L'!I12:L12)</f>
        <v>222</v>
      </c>
      <c r="J13" s="47">
        <f>SUM('QTD P&amp;L'!J12:M12)</f>
        <v>231</v>
      </c>
      <c r="K13" s="47">
        <f>241+9</f>
        <v>250</v>
      </c>
      <c r="L13" s="47">
        <f>SUM('QTD P&amp;L'!L12:O12)</f>
        <v>261</v>
      </c>
      <c r="M13" s="47">
        <f>SUM('QTD P&amp;L'!M12:P12)</f>
        <v>268</v>
      </c>
      <c r="N13" s="47">
        <f>SUM('QTD P&amp;L'!N12:Q12)</f>
        <v>267</v>
      </c>
      <c r="O13" s="47">
        <f>238+17</f>
        <v>255</v>
      </c>
      <c r="P13" s="47">
        <f>SUM('QTD P&amp;L'!P12:S12)</f>
        <v>259</v>
      </c>
      <c r="Q13" s="47">
        <f>SUM('QTD P&amp;L'!Q12:T12)</f>
        <v>268</v>
      </c>
      <c r="R13" s="47">
        <f>SUM('QTD P&amp;L'!R12:U12)</f>
        <v>267</v>
      </c>
      <c r="S13" s="47">
        <f>231+32</f>
        <v>263</v>
      </c>
      <c r="T13" s="47">
        <f>SUM('QTD P&amp;L'!T12:W12)</f>
        <v>250</v>
      </c>
      <c r="U13" s="47">
        <f>SUM('QTD P&amp;L'!U12:X12)</f>
        <v>233</v>
      </c>
      <c r="V13" s="47">
        <f>SUM('QTD P&amp;L'!V12:Y12)</f>
        <v>214</v>
      </c>
      <c r="W13" s="47">
        <v>204</v>
      </c>
      <c r="X13" s="47">
        <f>SUM('QTD P&amp;L'!X12:AA12)</f>
        <v>205</v>
      </c>
      <c r="Y13" s="47">
        <f>SUM('QTD P&amp;L'!Y12:AB12)</f>
        <v>207</v>
      </c>
      <c r="Z13" s="47">
        <f>SUM('QTD P&amp;L'!Z12:AC12)</f>
        <v>220</v>
      </c>
      <c r="AA13" s="47">
        <v>232</v>
      </c>
      <c r="AB13" s="47">
        <f>SUM('QTD P&amp;L'!AB12:AE12)</f>
        <v>226</v>
      </c>
      <c r="AC13" s="47">
        <f>SUM('QTD P&amp;L'!AC12:AF12)</f>
        <v>223</v>
      </c>
      <c r="AD13" s="47">
        <f>SUM('QTD P&amp;L'!AD12:AG12)</f>
        <v>223</v>
      </c>
      <c r="AF13" s="674"/>
    </row>
    <row r="14" spans="1:36" s="48" customFormat="1" ht="12.75">
      <c r="A14" s="10"/>
      <c r="B14" s="2"/>
      <c r="C14" s="2" t="s">
        <v>212</v>
      </c>
      <c r="D14" s="10"/>
      <c r="E14" s="47">
        <f>SUM('QTD P&amp;L'!E13:H13)</f>
        <v>387</v>
      </c>
      <c r="F14" s="47">
        <f>SUM('QTD P&amp;L'!F13:I13)</f>
        <v>391</v>
      </c>
      <c r="G14" s="47">
        <v>348</v>
      </c>
      <c r="H14" s="47">
        <f>SUM('QTD P&amp;L'!H13:K13)</f>
        <v>375</v>
      </c>
      <c r="I14" s="47">
        <f>SUM('QTD P&amp;L'!I13:L13)</f>
        <v>340</v>
      </c>
      <c r="J14" s="47">
        <f>SUM('QTD P&amp;L'!J13:M13)</f>
        <v>347</v>
      </c>
      <c r="K14" s="47">
        <v>338</v>
      </c>
      <c r="L14" s="47">
        <f>SUM('QTD P&amp;L'!L13:O13)</f>
        <v>301</v>
      </c>
      <c r="M14" s="47">
        <f>SUM('QTD P&amp;L'!M13:P13)</f>
        <v>297</v>
      </c>
      <c r="N14" s="47">
        <f>SUM('QTD P&amp;L'!N13:Q13)</f>
        <v>260</v>
      </c>
      <c r="O14" s="47">
        <v>218</v>
      </c>
      <c r="P14" s="47">
        <f>SUM('QTD P&amp;L'!P13:S13)</f>
        <v>187</v>
      </c>
      <c r="Q14" s="47">
        <f>SUM('QTD P&amp;L'!Q13:T13)</f>
        <v>197</v>
      </c>
      <c r="R14" s="47">
        <f>SUM('QTD P&amp;L'!R13:U13)</f>
        <v>192</v>
      </c>
      <c r="S14" s="47">
        <v>194</v>
      </c>
      <c r="T14" s="47">
        <f>SUM('QTD P&amp;L'!T13:W13)</f>
        <v>224</v>
      </c>
      <c r="U14" s="47">
        <f>SUM('QTD P&amp;L'!U13:X13)</f>
        <v>205</v>
      </c>
      <c r="V14" s="47">
        <f>SUM('QTD P&amp;L'!V13:Y13)</f>
        <v>202</v>
      </c>
      <c r="W14" s="47">
        <v>187</v>
      </c>
      <c r="X14" s="47">
        <f>SUM('QTD P&amp;L'!X13:AA13)</f>
        <v>183</v>
      </c>
      <c r="Y14" s="47">
        <f>SUM('QTD P&amp;L'!Y13:AB13)</f>
        <v>191</v>
      </c>
      <c r="Z14" s="47">
        <f>SUM('QTD P&amp;L'!Z13:AC13)</f>
        <v>209</v>
      </c>
      <c r="AA14" s="47">
        <v>260</v>
      </c>
      <c r="AB14" s="47">
        <f>SUM('QTD P&amp;L'!AB13:AE13)</f>
        <v>352</v>
      </c>
      <c r="AC14" s="47">
        <f>SUM('QTD P&amp;L'!AC13:AF13)</f>
        <v>391</v>
      </c>
      <c r="AD14" s="47">
        <f>SUM('QTD P&amp;L'!AD13:AG13)</f>
        <v>438</v>
      </c>
      <c r="AF14" s="674"/>
    </row>
    <row r="15" spans="1:36" s="48" customFormat="1" ht="12.75">
      <c r="A15" s="10"/>
      <c r="B15" s="2"/>
      <c r="C15" s="2" t="s">
        <v>213</v>
      </c>
      <c r="D15" s="10"/>
      <c r="E15" s="47">
        <f>SUM('QTD P&amp;L'!E14:H14)</f>
        <v>328</v>
      </c>
      <c r="F15" s="47">
        <f>SUM('QTD P&amp;L'!F14:I14)</f>
        <v>337</v>
      </c>
      <c r="G15" s="47">
        <v>315</v>
      </c>
      <c r="H15" s="47">
        <f>SUM('QTD P&amp;L'!H14:K14)</f>
        <v>294</v>
      </c>
      <c r="I15" s="47">
        <f>SUM('QTD P&amp;L'!I14:L14)</f>
        <v>269</v>
      </c>
      <c r="J15" s="47">
        <f>SUM('QTD P&amp;L'!J14:M14)</f>
        <v>257</v>
      </c>
      <c r="K15" s="47">
        <v>197</v>
      </c>
      <c r="L15" s="47">
        <f>SUM('QTD P&amp;L'!L14:O14)</f>
        <v>183</v>
      </c>
      <c r="M15" s="47">
        <f>SUM('QTD P&amp;L'!M14:P14)</f>
        <v>178</v>
      </c>
      <c r="N15" s="47">
        <f>SUM('QTD P&amp;L'!N14:Q14)</f>
        <v>161</v>
      </c>
      <c r="O15" s="47">
        <v>165</v>
      </c>
      <c r="P15" s="47">
        <f>SUM('QTD P&amp;L'!P14:S14)</f>
        <v>143</v>
      </c>
      <c r="Q15" s="47">
        <f>SUM('QTD P&amp;L'!Q14:T14)</f>
        <v>139</v>
      </c>
      <c r="R15" s="47">
        <f>SUM('QTD P&amp;L'!R14:U14)</f>
        <v>133</v>
      </c>
      <c r="S15" s="47">
        <v>89</v>
      </c>
      <c r="T15" s="47">
        <f>SUM('QTD P&amp;L'!T14:W14)</f>
        <v>120</v>
      </c>
      <c r="U15" s="47">
        <f>SUM('QTD P&amp;L'!U14:X14)</f>
        <v>114</v>
      </c>
      <c r="V15" s="47">
        <f>SUM('QTD P&amp;L'!V14:Y14)</f>
        <v>109</v>
      </c>
      <c r="W15" s="47">
        <v>87</v>
      </c>
      <c r="X15" s="47">
        <f>SUM('QTD P&amp;L'!X14:AA14)</f>
        <v>52</v>
      </c>
      <c r="Y15" s="47">
        <f>SUM('QTD P&amp;L'!Y14:AB14)</f>
        <v>49</v>
      </c>
      <c r="Z15" s="47">
        <f>SUM('QTD P&amp;L'!Z14:AC14)</f>
        <v>51</v>
      </c>
      <c r="AA15" s="47">
        <v>34</v>
      </c>
      <c r="AB15" s="47">
        <f>SUM('QTD P&amp;L'!AB14:AE14)</f>
        <v>35</v>
      </c>
      <c r="AC15" s="47">
        <f>SUM('QTD P&amp;L'!AC14:AF14)</f>
        <v>27</v>
      </c>
      <c r="AD15" s="47">
        <f>SUM('QTD P&amp;L'!AD14:AG14)</f>
        <v>25</v>
      </c>
      <c r="AF15" s="674"/>
    </row>
    <row r="16" spans="1:36" ht="12.75">
      <c r="A16" s="10"/>
      <c r="B16" s="10"/>
      <c r="C16" s="6" t="s">
        <v>47</v>
      </c>
      <c r="D16" s="10"/>
      <c r="E16" s="15">
        <f>SUM('QTD P&amp;L'!E15:H15)</f>
        <v>636</v>
      </c>
      <c r="F16" s="15">
        <f>SUM('QTD P&amp;L'!F15:I15)</f>
        <v>558</v>
      </c>
      <c r="G16" s="15">
        <v>627</v>
      </c>
      <c r="H16" s="15">
        <f>SUM('QTD P&amp;L'!H15:K15)</f>
        <v>644</v>
      </c>
      <c r="I16" s="15">
        <f>SUM('QTD P&amp;L'!I15:L15)</f>
        <v>618</v>
      </c>
      <c r="J16" s="15">
        <f>SUM('QTD P&amp;L'!J15:M15)</f>
        <v>611</v>
      </c>
      <c r="K16" s="15">
        <f>642-7-9</f>
        <v>626</v>
      </c>
      <c r="L16" s="15">
        <f>SUM('QTD P&amp;L'!L15:O15)</f>
        <v>621</v>
      </c>
      <c r="M16" s="15">
        <f>SUM('QTD P&amp;L'!M15:P15)</f>
        <v>637</v>
      </c>
      <c r="N16" s="15">
        <f>SUM('QTD P&amp;L'!N15:Q15)</f>
        <v>651</v>
      </c>
      <c r="O16" s="15">
        <f>646-17</f>
        <v>629</v>
      </c>
      <c r="P16" s="15">
        <f>SUM('QTD P&amp;L'!P15:S15)</f>
        <v>605</v>
      </c>
      <c r="Q16" s="15">
        <f>SUM('QTD P&amp;L'!Q15:T15)</f>
        <v>637</v>
      </c>
      <c r="R16" s="15">
        <f>SUM('QTD P&amp;L'!R15:U15)</f>
        <v>633</v>
      </c>
      <c r="S16" s="15">
        <f>636-32</f>
        <v>604</v>
      </c>
      <c r="T16" s="15">
        <f>SUM('QTD P&amp;L'!T15:W15)</f>
        <v>617</v>
      </c>
      <c r="U16" s="15">
        <f>SUM('QTD P&amp;L'!U15:X15)</f>
        <v>595</v>
      </c>
      <c r="V16" s="15">
        <f>SUM('QTD P&amp;L'!V15:Y15)</f>
        <v>610</v>
      </c>
      <c r="W16" s="15">
        <v>584</v>
      </c>
      <c r="X16" s="15">
        <f>SUM('QTD P&amp;L'!X15:AA15)</f>
        <v>603</v>
      </c>
      <c r="Y16" s="15">
        <f>SUM('QTD P&amp;L'!Y15:AB15)</f>
        <v>592</v>
      </c>
      <c r="Z16" s="15">
        <f>SUM('QTD P&amp;L'!Z15:AC15)</f>
        <v>583</v>
      </c>
      <c r="AA16" s="15">
        <v>571</v>
      </c>
      <c r="AB16" s="15">
        <f>SUM('QTD P&amp;L'!AB15:AE15)</f>
        <v>572</v>
      </c>
      <c r="AC16" s="15">
        <f>SUM('QTD P&amp;L'!AC15:AF15)</f>
        <v>609</v>
      </c>
      <c r="AD16" s="15">
        <f>SUM('QTD P&amp;L'!AD15:AG15)</f>
        <v>637</v>
      </c>
      <c r="AF16" s="674"/>
    </row>
    <row r="17" spans="1:33" ht="12.75">
      <c r="A17" s="10"/>
      <c r="B17" s="10"/>
      <c r="C17" s="6" t="s">
        <v>48</v>
      </c>
      <c r="D17" s="10"/>
      <c r="E17" s="15">
        <f>SUM('QTD P&amp;L'!E16:H16)</f>
        <v>587</v>
      </c>
      <c r="F17" s="15">
        <f>SUM('QTD P&amp;L'!F16:I16)</f>
        <v>573</v>
      </c>
      <c r="G17" s="15">
        <v>544</v>
      </c>
      <c r="H17" s="15">
        <f>SUM('QTD P&amp;L'!H16:K16)</f>
        <v>517</v>
      </c>
      <c r="I17" s="15">
        <f>SUM('QTD P&amp;L'!I16:L16)</f>
        <v>524</v>
      </c>
      <c r="J17" s="15">
        <f>SUM('QTD P&amp;L'!J16:M16)</f>
        <v>506</v>
      </c>
      <c r="K17" s="15">
        <f>520-4</f>
        <v>516</v>
      </c>
      <c r="L17" s="15">
        <f>SUM('QTD P&amp;L'!L16:O16)</f>
        <v>520</v>
      </c>
      <c r="M17" s="15">
        <f>SUM('QTD P&amp;L'!M16:P16)</f>
        <v>485</v>
      </c>
      <c r="N17" s="15">
        <f>SUM('QTD P&amp;L'!N16:Q16)</f>
        <v>490</v>
      </c>
      <c r="O17" s="15">
        <v>545</v>
      </c>
      <c r="P17" s="15">
        <f>SUM('QTD P&amp;L'!P16:S16)</f>
        <v>565</v>
      </c>
      <c r="Q17" s="15">
        <f>SUM('QTD P&amp;L'!Q16:T16)</f>
        <v>611</v>
      </c>
      <c r="R17" s="15">
        <f>SUM('QTD P&amp;L'!R16:U16)</f>
        <v>627</v>
      </c>
      <c r="S17" s="15">
        <v>578</v>
      </c>
      <c r="T17" s="15">
        <f>SUM('QTD P&amp;L'!T16:W16)</f>
        <v>606</v>
      </c>
      <c r="U17" s="15">
        <f>SUM('QTD P&amp;L'!U16:X16)</f>
        <v>586</v>
      </c>
      <c r="V17" s="15">
        <f>SUM('QTD P&amp;L'!V16:Y16)</f>
        <v>599</v>
      </c>
      <c r="W17" s="15">
        <v>606</v>
      </c>
      <c r="X17" s="15">
        <f>SUM('QTD P&amp;L'!X16:AA16)</f>
        <v>603</v>
      </c>
      <c r="Y17" s="15">
        <f>SUM('QTD P&amp;L'!Y16:AB16)</f>
        <v>628</v>
      </c>
      <c r="Z17" s="15">
        <f>SUM('QTD P&amp;L'!Z16:AC16)</f>
        <v>705</v>
      </c>
      <c r="AA17" s="15">
        <v>712</v>
      </c>
      <c r="AB17" s="15">
        <f>SUM('QTD P&amp;L'!AB16:AE16)</f>
        <v>701</v>
      </c>
      <c r="AC17" s="15">
        <f>SUM('QTD P&amp;L'!AC16:AF16)</f>
        <v>724</v>
      </c>
      <c r="AD17" s="15">
        <f>SUM('QTD P&amp;L'!AD16:AG16)</f>
        <v>692</v>
      </c>
      <c r="AF17" s="674"/>
    </row>
    <row r="18" spans="1:33" ht="12.75">
      <c r="A18" s="10"/>
      <c r="B18" s="10"/>
      <c r="C18" s="6" t="s">
        <v>49</v>
      </c>
      <c r="D18" s="10"/>
      <c r="E18" s="15">
        <f>SUM('QTD P&amp;L'!E17:H17)</f>
        <v>393</v>
      </c>
      <c r="F18" s="15">
        <f>SUM('QTD P&amp;L'!F17:I17)</f>
        <v>405</v>
      </c>
      <c r="G18" s="15">
        <v>395</v>
      </c>
      <c r="H18" s="15">
        <f>SUM('QTD P&amp;L'!H17:K17)</f>
        <v>362</v>
      </c>
      <c r="I18" s="454">
        <f>SUM('QTD P&amp;L'!I17:L17)</f>
        <v>345</v>
      </c>
      <c r="J18" s="15">
        <f>SUM('QTD P&amp;L'!J17:M17)</f>
        <v>352</v>
      </c>
      <c r="K18" s="15">
        <f>364+11</f>
        <v>375</v>
      </c>
      <c r="L18" s="15">
        <f>SUM('QTD P&amp;L'!L17:O17)</f>
        <v>412</v>
      </c>
      <c r="M18" s="15">
        <f>SUM('QTD P&amp;L'!M17:P17)</f>
        <v>464</v>
      </c>
      <c r="N18" s="15">
        <f>SUM('QTD P&amp;L'!N17:Q17)</f>
        <v>455</v>
      </c>
      <c r="O18" s="15">
        <f>455+1</f>
        <v>456</v>
      </c>
      <c r="P18" s="15">
        <f>SUM('QTD P&amp;L'!P17:S17)</f>
        <v>455</v>
      </c>
      <c r="Q18" s="15">
        <f>SUM('QTD P&amp;L'!Q17:T17)</f>
        <v>518</v>
      </c>
      <c r="R18" s="15">
        <f>SUM('QTD P&amp;L'!R17:U17)</f>
        <v>535</v>
      </c>
      <c r="S18" s="15">
        <v>561</v>
      </c>
      <c r="T18" s="15">
        <f>SUM('QTD P&amp;L'!T17:W17)</f>
        <v>548</v>
      </c>
      <c r="U18" s="15">
        <f>SUM('QTD P&amp;L'!U17:X17)</f>
        <v>454</v>
      </c>
      <c r="V18" s="15">
        <f>SUM('QTD P&amp;L'!V17:Y17)</f>
        <v>495</v>
      </c>
      <c r="W18" s="15">
        <v>490</v>
      </c>
      <c r="X18" s="15">
        <f>SUM('QTD P&amp;L'!X17:AA17)</f>
        <v>496</v>
      </c>
      <c r="Y18" s="15">
        <f>SUM('QTD P&amp;L'!Y17:AB17)</f>
        <v>507</v>
      </c>
      <c r="Z18" s="15">
        <f>SUM('QTD P&amp;L'!Z17:AC17)</f>
        <v>485</v>
      </c>
      <c r="AA18" s="15">
        <v>417</v>
      </c>
      <c r="AB18" s="15">
        <f>SUM('QTD P&amp;L'!AB17:AE17)</f>
        <v>408</v>
      </c>
      <c r="AC18" s="15">
        <f>SUM('QTD P&amp;L'!AC17:AF17)</f>
        <v>403</v>
      </c>
      <c r="AD18" s="15">
        <f>SUM('QTD P&amp;L'!AD17:AG17)</f>
        <v>372</v>
      </c>
      <c r="AF18" s="674"/>
    </row>
    <row r="19" spans="1:33" ht="12.75">
      <c r="A19" s="10"/>
      <c r="B19" s="10"/>
      <c r="C19" s="6" t="s">
        <v>50</v>
      </c>
      <c r="D19" s="10"/>
      <c r="E19" s="15">
        <f>SUM('QTD P&amp;L'!E18:H18)</f>
        <v>123</v>
      </c>
      <c r="F19" s="15">
        <f>SUM('QTD P&amp;L'!F18:I18)</f>
        <v>61</v>
      </c>
      <c r="G19" s="15">
        <v>23</v>
      </c>
      <c r="H19" s="15">
        <f>SUM('QTD P&amp;L'!H18:K18)</f>
        <v>8</v>
      </c>
      <c r="I19" s="15">
        <f>SUM('QTD P&amp;L'!I18:L18)</f>
        <v>-7</v>
      </c>
      <c r="J19" s="15">
        <f>SUM('QTD P&amp;L'!J18:M18)</f>
        <v>-6</v>
      </c>
      <c r="K19" s="15">
        <v>0</v>
      </c>
      <c r="L19" s="15">
        <f>SUM('QTD P&amp;L'!L18:O18)</f>
        <v>19</v>
      </c>
      <c r="M19" s="15">
        <f>SUM('QTD P&amp;L'!M18:P18)</f>
        <v>22</v>
      </c>
      <c r="N19" s="15">
        <f>SUM('QTD P&amp;L'!N18:Q18)</f>
        <v>25</v>
      </c>
      <c r="O19" s="15">
        <f>26-1</f>
        <v>25</v>
      </c>
      <c r="P19" s="15">
        <f>SUM('QTD P&amp;L'!P18:S18)</f>
        <v>7</v>
      </c>
      <c r="Q19" s="15">
        <f>SUM('QTD P&amp;L'!Q18:T18)</f>
        <v>4</v>
      </c>
      <c r="R19" s="15">
        <f>SUM('QTD P&amp;L'!R18:U18)</f>
        <v>1</v>
      </c>
      <c r="S19" s="394">
        <v>0</v>
      </c>
      <c r="T19" s="394">
        <f>SUM('QTD P&amp;L'!T18:W18)</f>
        <v>0</v>
      </c>
      <c r="U19" s="394">
        <f>SUM('QTD P&amp;L'!U18:X18)</f>
        <v>0</v>
      </c>
      <c r="V19" s="394">
        <f>SUM('QTD P&amp;L'!V18:Y18)</f>
        <v>0</v>
      </c>
      <c r="W19" s="394">
        <v>0</v>
      </c>
      <c r="X19" s="394">
        <f>SUM('QTD P&amp;L'!X18:AA18)</f>
        <v>0</v>
      </c>
      <c r="Y19" s="394">
        <f>SUM('QTD P&amp;L'!Y18:AB18)</f>
        <v>0</v>
      </c>
      <c r="Z19" s="394">
        <f>SUM('QTD P&amp;L'!Z18:AC18)</f>
        <v>0</v>
      </c>
      <c r="AA19" s="394">
        <v>0</v>
      </c>
      <c r="AB19" s="15">
        <f>SUM('QTD P&amp;L'!AB18:AE18)</f>
        <v>0</v>
      </c>
      <c r="AC19" s="15">
        <f>SUM('QTD P&amp;L'!AC18:AF18)</f>
        <v>0</v>
      </c>
      <c r="AD19" s="15">
        <f>SUM('QTD P&amp;L'!AD18:AG18)</f>
        <v>0</v>
      </c>
      <c r="AF19" s="674"/>
    </row>
    <row r="20" spans="1:33">
      <c r="A20" s="10"/>
      <c r="B20" s="10"/>
      <c r="C20" s="6" t="s">
        <v>51</v>
      </c>
      <c r="D20" s="10"/>
      <c r="E20" s="16">
        <f>SUM('QTD P&amp;L'!E19:H19)</f>
        <v>0</v>
      </c>
      <c r="F20" s="16">
        <f>SUM('QTD P&amp;L'!F19:I19)</f>
        <v>0</v>
      </c>
      <c r="G20" s="16">
        <v>409</v>
      </c>
      <c r="H20" s="16">
        <f>SUM('QTD P&amp;L'!H19:K19)</f>
        <v>409</v>
      </c>
      <c r="I20" s="16">
        <f>SUM('QTD P&amp;L'!I19:L19)</f>
        <v>409</v>
      </c>
      <c r="J20" s="16">
        <f>SUM('QTD P&amp;L'!J19:M19)</f>
        <v>409</v>
      </c>
      <c r="K20" s="16">
        <v>326</v>
      </c>
      <c r="L20" s="16">
        <f>SUM('QTD P&amp;L'!L19:O19)</f>
        <v>326</v>
      </c>
      <c r="M20" s="16">
        <f>SUM('QTD P&amp;L'!M19:P19)</f>
        <v>326</v>
      </c>
      <c r="N20" s="16">
        <f>SUM('QTD P&amp;L'!N19:Q19)</f>
        <v>326</v>
      </c>
      <c r="O20" s="395">
        <v>0</v>
      </c>
      <c r="P20" s="16">
        <f>SUM('QTD P&amp;L'!P19:S19)</f>
        <v>0</v>
      </c>
      <c r="Q20" s="16">
        <f>SUM('QTD P&amp;L'!Q19:T19)</f>
        <v>0</v>
      </c>
      <c r="R20" s="16">
        <f>SUM('QTD P&amp;L'!R19:U19)</f>
        <v>0</v>
      </c>
      <c r="S20" s="395">
        <v>0</v>
      </c>
      <c r="T20" s="395">
        <f>SUM('QTD P&amp;L'!T19:W19)</f>
        <v>0</v>
      </c>
      <c r="U20" s="395">
        <f>SUM('QTD P&amp;L'!U19:X19)</f>
        <v>0</v>
      </c>
      <c r="V20" s="395">
        <f>SUM('QTD P&amp;L'!V19:Y19)</f>
        <v>0</v>
      </c>
      <c r="W20" s="395">
        <v>0</v>
      </c>
      <c r="X20" s="395">
        <f>SUM('QTD P&amp;L'!X19:AA19)</f>
        <v>0</v>
      </c>
      <c r="Y20" s="395">
        <f>SUM('QTD P&amp;L'!Y19:AB19)</f>
        <v>0</v>
      </c>
      <c r="Z20" s="395">
        <f>SUM('QTD P&amp;L'!Z19:AC19)</f>
        <v>0</v>
      </c>
      <c r="AA20" s="395">
        <v>0</v>
      </c>
      <c r="AB20" s="16">
        <f>SUM('QTD P&amp;L'!AB19:AE19)</f>
        <v>0</v>
      </c>
      <c r="AC20" s="16">
        <f>SUM('QTD P&amp;L'!AC19:AF19)</f>
        <v>0</v>
      </c>
      <c r="AD20" s="16">
        <f>SUM('QTD P&amp;L'!AD19:AG19)</f>
        <v>0</v>
      </c>
      <c r="AF20" s="674"/>
    </row>
    <row r="21" spans="1:33">
      <c r="A21" s="10"/>
      <c r="B21" s="10"/>
      <c r="C21" s="10"/>
      <c r="D21" s="10" t="s">
        <v>202</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c r="N21" s="16">
        <f t="shared" ref="N21:S21" si="1">SUM(N12:N20)</f>
        <v>3870</v>
      </c>
      <c r="O21" s="16">
        <f t="shared" si="1"/>
        <v>3427</v>
      </c>
      <c r="P21" s="16">
        <f t="shared" si="1"/>
        <v>3312</v>
      </c>
      <c r="Q21" s="16">
        <f t="shared" si="1"/>
        <v>3481</v>
      </c>
      <c r="R21" s="16">
        <f t="shared" si="1"/>
        <v>3503</v>
      </c>
      <c r="S21" s="16">
        <f t="shared" si="1"/>
        <v>3405</v>
      </c>
      <c r="T21" s="16">
        <f t="shared" ref="T21:U21" si="2">SUM(T12:T20)</f>
        <v>3483</v>
      </c>
      <c r="U21" s="16">
        <f t="shared" si="2"/>
        <v>3255</v>
      </c>
      <c r="V21" s="16">
        <f t="shared" ref="V21:W21" si="3">SUM(V12:V20)</f>
        <v>3262</v>
      </c>
      <c r="W21" s="16">
        <f t="shared" si="3"/>
        <v>3211</v>
      </c>
      <c r="X21" s="16">
        <f t="shared" ref="X21:Y21" si="4">SUM(X12:X20)</f>
        <v>3159</v>
      </c>
      <c r="Y21" s="16">
        <f t="shared" si="4"/>
        <v>3199</v>
      </c>
      <c r="Z21" s="16">
        <f t="shared" ref="Z21:AA21" si="5">SUM(Z12:Z20)</f>
        <v>3323</v>
      </c>
      <c r="AA21" s="16">
        <f t="shared" si="5"/>
        <v>3225</v>
      </c>
      <c r="AB21" s="16">
        <f t="shared" ref="AB21" si="6">SUM(AB12:AB20)</f>
        <v>3278</v>
      </c>
      <c r="AC21" s="16">
        <f>SUM(AC12:AC20)</f>
        <v>3330</v>
      </c>
      <c r="AD21" s="16">
        <f>SUM(AD12:AD20)</f>
        <v>3379</v>
      </c>
      <c r="AF21" s="674"/>
    </row>
    <row r="22" spans="1:33" ht="12.75">
      <c r="A22" s="11"/>
      <c r="B22" s="25" t="s">
        <v>1</v>
      </c>
      <c r="C22" s="3"/>
      <c r="D22" s="11"/>
      <c r="E22" s="14">
        <f t="shared" ref="E22:M22" si="7">+E10-E21</f>
        <v>55</v>
      </c>
      <c r="F22" s="14">
        <f t="shared" si="7"/>
        <v>258</v>
      </c>
      <c r="G22" s="14">
        <f t="shared" si="7"/>
        <v>-26</v>
      </c>
      <c r="H22" s="14">
        <f t="shared" si="7"/>
        <v>306</v>
      </c>
      <c r="I22" s="14">
        <f t="shared" si="7"/>
        <v>388</v>
      </c>
      <c r="J22" s="14">
        <f t="shared" si="7"/>
        <v>434</v>
      </c>
      <c r="K22" s="14">
        <f t="shared" si="7"/>
        <v>469</v>
      </c>
      <c r="L22" s="14">
        <f t="shared" si="7"/>
        <v>632</v>
      </c>
      <c r="M22" s="14">
        <f t="shared" si="7"/>
        <v>799</v>
      </c>
      <c r="N22" s="14">
        <f t="shared" ref="N22:S22" si="8">+N10-N21</f>
        <v>906</v>
      </c>
      <c r="O22" s="14">
        <f t="shared" si="8"/>
        <v>1328</v>
      </c>
      <c r="P22" s="14">
        <f t="shared" si="8"/>
        <v>1167</v>
      </c>
      <c r="Q22" s="14">
        <f t="shared" si="8"/>
        <v>927</v>
      </c>
      <c r="R22" s="14">
        <f t="shared" si="8"/>
        <v>992</v>
      </c>
      <c r="S22" s="14">
        <f t="shared" si="8"/>
        <v>1451</v>
      </c>
      <c r="T22" s="14">
        <f t="shared" ref="T22:U22" si="9">+T10-T21</f>
        <v>1525</v>
      </c>
      <c r="U22" s="14">
        <f t="shared" si="9"/>
        <v>1728</v>
      </c>
      <c r="V22" s="14">
        <f t="shared" ref="V22:W22" si="10">+V10-V21</f>
        <v>1571</v>
      </c>
      <c r="W22" s="14">
        <f t="shared" si="10"/>
        <v>1372</v>
      </c>
      <c r="X22" s="14">
        <f t="shared" ref="X22:Y22" si="11">+X10-X21</f>
        <v>1211</v>
      </c>
      <c r="Y22" s="14">
        <f t="shared" si="11"/>
        <v>1091</v>
      </c>
      <c r="Z22" s="14">
        <f t="shared" ref="Z22:AA22" si="12">+Z10-Z21</f>
        <v>1029</v>
      </c>
      <c r="AA22" s="14">
        <f t="shared" si="12"/>
        <v>1183</v>
      </c>
      <c r="AB22" s="14">
        <f t="shared" ref="AB22" si="13">+AB10-AB21</f>
        <v>1298</v>
      </c>
      <c r="AC22" s="14">
        <f>+AC10-AC21</f>
        <v>1320</v>
      </c>
      <c r="AD22" s="14">
        <f>+AD10-AD21</f>
        <v>1508</v>
      </c>
      <c r="AF22" s="674"/>
    </row>
    <row r="23" spans="1:33">
      <c r="A23" s="12"/>
      <c r="B23" s="663" t="s">
        <v>334</v>
      </c>
      <c r="C23" s="12"/>
      <c r="D23" s="12"/>
      <c r="E23" s="16">
        <f>SUM('QTD P&amp;L'!E22:H22)</f>
        <v>-52</v>
      </c>
      <c r="F23" s="16">
        <f>SUM('QTD P&amp;L'!F22:I22)</f>
        <v>-39</v>
      </c>
      <c r="G23" s="395">
        <v>-18</v>
      </c>
      <c r="H23" s="16">
        <f>SUM('QTD P&amp;L'!H22:K22)</f>
        <v>-8</v>
      </c>
      <c r="I23" s="16">
        <f>SUM('QTD P&amp;L'!I22:L22)</f>
        <v>-9</v>
      </c>
      <c r="J23" s="16">
        <f>SUM('QTD P&amp;L'!J22:M22)</f>
        <v>-12</v>
      </c>
      <c r="K23" s="395">
        <v>-23</v>
      </c>
      <c r="L23" s="16">
        <f>SUM('QTD P&amp;L'!L22:O22)</f>
        <v>-25</v>
      </c>
      <c r="M23" s="16">
        <f>SUM('QTD P&amp;L'!M22:P22)</f>
        <v>-26</v>
      </c>
      <c r="N23" s="16">
        <f>SUM('QTD P&amp;L'!N22:Q22)</f>
        <v>-15</v>
      </c>
      <c r="O23" s="16">
        <v>-3</v>
      </c>
      <c r="P23" s="16">
        <f>SUM('QTD P&amp;L'!P22:S22)</f>
        <v>-1</v>
      </c>
      <c r="Q23" s="16">
        <f>SUM('QTD P&amp;L'!Q22:T22)</f>
        <v>-1</v>
      </c>
      <c r="R23" s="16">
        <f>SUM('QTD P&amp;L'!R22:U22)</f>
        <v>1</v>
      </c>
      <c r="S23" s="16">
        <v>-7</v>
      </c>
      <c r="T23" s="16">
        <f>SUM('QTD P&amp;L'!T22:W22)</f>
        <v>-8</v>
      </c>
      <c r="U23" s="16">
        <f>SUM('QTD P&amp;L'!U22:X22)</f>
        <v>-6</v>
      </c>
      <c r="V23" s="16">
        <f>SUM('QTD P&amp;L'!V22:Y22)</f>
        <v>-1</v>
      </c>
      <c r="W23" s="16">
        <v>53</v>
      </c>
      <c r="X23" s="16">
        <f>SUM('QTD P&amp;L'!X22:AA22)</f>
        <v>106</v>
      </c>
      <c r="Y23" s="16">
        <f>SUM('QTD P&amp;L'!Y22:AB22)</f>
        <v>156</v>
      </c>
      <c r="Z23" s="16">
        <f>SUM('QTD P&amp;L'!Z22:AC22)</f>
        <v>203</v>
      </c>
      <c r="AA23" s="16">
        <v>202</v>
      </c>
      <c r="AB23" s="16">
        <f>SUM('QTD P&amp;L'!AB22:AE22)</f>
        <v>201</v>
      </c>
      <c r="AC23" s="16">
        <f>SUM('QTD P&amp;L'!AC22:AF22)</f>
        <v>201</v>
      </c>
      <c r="AD23" s="16">
        <f>SUM('QTD P&amp;L'!AD22:AG22)</f>
        <v>201</v>
      </c>
      <c r="AF23" s="674"/>
    </row>
    <row r="24" spans="1:33" ht="12.75">
      <c r="A24" s="12"/>
      <c r="B24" s="22" t="s">
        <v>325</v>
      </c>
      <c r="C24" s="4"/>
      <c r="D24" s="12"/>
      <c r="E24" s="15">
        <f>E22-E23</f>
        <v>107</v>
      </c>
      <c r="F24" s="15">
        <f t="shared" ref="F24:AB24" si="14">F22-F23</f>
        <v>297</v>
      </c>
      <c r="G24" s="15">
        <f t="shared" si="14"/>
        <v>-8</v>
      </c>
      <c r="H24" s="15">
        <f t="shared" si="14"/>
        <v>314</v>
      </c>
      <c r="I24" s="15">
        <f t="shared" si="14"/>
        <v>397</v>
      </c>
      <c r="J24" s="15">
        <f t="shared" si="14"/>
        <v>446</v>
      </c>
      <c r="K24" s="15">
        <f t="shared" si="14"/>
        <v>492</v>
      </c>
      <c r="L24" s="15">
        <f t="shared" si="14"/>
        <v>657</v>
      </c>
      <c r="M24" s="15">
        <f t="shared" si="14"/>
        <v>825</v>
      </c>
      <c r="N24" s="15">
        <f t="shared" si="14"/>
        <v>921</v>
      </c>
      <c r="O24" s="15">
        <f t="shared" si="14"/>
        <v>1331</v>
      </c>
      <c r="P24" s="15">
        <f t="shared" si="14"/>
        <v>1168</v>
      </c>
      <c r="Q24" s="15">
        <f t="shared" si="14"/>
        <v>928</v>
      </c>
      <c r="R24" s="15">
        <f t="shared" si="14"/>
        <v>991</v>
      </c>
      <c r="S24" s="15">
        <f t="shared" si="14"/>
        <v>1458</v>
      </c>
      <c r="T24" s="15">
        <f t="shared" si="14"/>
        <v>1533</v>
      </c>
      <c r="U24" s="15">
        <f t="shared" si="14"/>
        <v>1734</v>
      </c>
      <c r="V24" s="15">
        <f t="shared" si="14"/>
        <v>1572</v>
      </c>
      <c r="W24" s="15">
        <f t="shared" si="14"/>
        <v>1319</v>
      </c>
      <c r="X24" s="15">
        <f t="shared" si="14"/>
        <v>1105</v>
      </c>
      <c r="Y24" s="15">
        <f t="shared" si="14"/>
        <v>935</v>
      </c>
      <c r="Z24" s="15">
        <f t="shared" si="14"/>
        <v>826</v>
      </c>
      <c r="AA24" s="15">
        <f t="shared" si="14"/>
        <v>981</v>
      </c>
      <c r="AB24" s="15">
        <f t="shared" si="14"/>
        <v>1097</v>
      </c>
      <c r="AC24" s="15">
        <f>AC22-AC23</f>
        <v>1119</v>
      </c>
      <c r="AD24" s="15">
        <f>AD22-AD23</f>
        <v>1307</v>
      </c>
      <c r="AF24" s="674"/>
    </row>
    <row r="25" spans="1:33">
      <c r="A25" s="12"/>
      <c r="B25" s="2" t="s">
        <v>326</v>
      </c>
      <c r="C25" s="4"/>
      <c r="D25" s="12"/>
      <c r="E25" s="16">
        <f>SUM('QTD P&amp;L'!E24:H24)</f>
        <v>-97</v>
      </c>
      <c r="F25" s="16">
        <f>SUM('QTD P&amp;L'!F24:I24)</f>
        <v>-30</v>
      </c>
      <c r="G25" s="395">
        <v>-121</v>
      </c>
      <c r="H25" s="16">
        <f>SUM('QTD P&amp;L'!H24:K24)</f>
        <v>9</v>
      </c>
      <c r="I25" s="16">
        <f>SUM('QTD P&amp;L'!I24:L24)</f>
        <v>68</v>
      </c>
      <c r="J25" s="16">
        <f>SUM('QTD P&amp;L'!J24:M24)</f>
        <v>81</v>
      </c>
      <c r="K25" s="395">
        <v>74</v>
      </c>
      <c r="L25" s="16">
        <f>SUM('QTD P&amp;L'!L24:O24)</f>
        <v>117</v>
      </c>
      <c r="M25" s="16">
        <f>SUM('QTD P&amp;L'!M24:P24)</f>
        <v>169</v>
      </c>
      <c r="N25" s="16">
        <f>SUM('QTD P&amp;L'!N24:Q24)</f>
        <v>168</v>
      </c>
      <c r="O25" s="16">
        <v>246</v>
      </c>
      <c r="P25" s="16">
        <f>SUM('QTD P&amp;L'!P24:S24)</f>
        <v>202</v>
      </c>
      <c r="Q25" s="16">
        <f>SUM('QTD P&amp;L'!Q24:T24)</f>
        <v>112</v>
      </c>
      <c r="R25" s="16">
        <f>SUM('QTD P&amp;L'!R24:U24)</f>
        <v>97</v>
      </c>
      <c r="S25" s="16">
        <v>309</v>
      </c>
      <c r="T25" s="16">
        <f>SUM('QTD P&amp;L'!T24:W24)</f>
        <v>312</v>
      </c>
      <c r="U25" s="16">
        <f>SUM('QTD P&amp;L'!U24:X24)</f>
        <v>374</v>
      </c>
      <c r="V25" s="16">
        <f>SUM('QTD P&amp;L'!V24:Y24)</f>
        <v>382</v>
      </c>
      <c r="W25" s="16">
        <v>309</v>
      </c>
      <c r="X25" s="395">
        <f>SUM('QTD P&amp;L'!X24:AA24)</f>
        <v>258</v>
      </c>
      <c r="Y25" s="395">
        <f>SUM('QTD P&amp;L'!Y24:AB24)</f>
        <v>208</v>
      </c>
      <c r="Z25" s="395">
        <f>SUM('QTD P&amp;L'!Z24:AC24)</f>
        <v>178</v>
      </c>
      <c r="AA25" s="395">
        <v>146</v>
      </c>
      <c r="AB25" s="395">
        <f>SUM('QTD P&amp;L'!AB24:AE24)</f>
        <v>161</v>
      </c>
      <c r="AC25" s="395">
        <f>SUM('QTD P&amp;L'!AC24:AF24)</f>
        <v>175</v>
      </c>
      <c r="AD25" s="395">
        <f>SUM('QTD P&amp;L'!AD24:AG24)</f>
        <v>213</v>
      </c>
      <c r="AF25" s="674"/>
    </row>
    <row r="26" spans="1:33">
      <c r="A26" s="9"/>
      <c r="B26" s="25" t="s">
        <v>2</v>
      </c>
      <c r="C26" s="9"/>
      <c r="D26" s="9"/>
      <c r="E26" s="17">
        <f t="shared" ref="E26:M26" si="15">E24-E25</f>
        <v>204</v>
      </c>
      <c r="F26" s="17">
        <f t="shared" si="15"/>
        <v>327</v>
      </c>
      <c r="G26" s="17">
        <f t="shared" si="15"/>
        <v>113</v>
      </c>
      <c r="H26" s="17">
        <f t="shared" si="15"/>
        <v>305</v>
      </c>
      <c r="I26" s="17">
        <f t="shared" si="15"/>
        <v>329</v>
      </c>
      <c r="J26" s="17">
        <f t="shared" si="15"/>
        <v>365</v>
      </c>
      <c r="K26" s="17">
        <f t="shared" si="15"/>
        <v>418</v>
      </c>
      <c r="L26" s="17">
        <f t="shared" si="15"/>
        <v>540</v>
      </c>
      <c r="M26" s="17">
        <f t="shared" si="15"/>
        <v>656</v>
      </c>
      <c r="N26" s="17">
        <f t="shared" ref="N26:S26" si="16">N24-N25</f>
        <v>753</v>
      </c>
      <c r="O26" s="17">
        <f t="shared" si="16"/>
        <v>1085</v>
      </c>
      <c r="P26" s="17">
        <f t="shared" si="16"/>
        <v>966</v>
      </c>
      <c r="Q26" s="17">
        <f t="shared" si="16"/>
        <v>816</v>
      </c>
      <c r="R26" s="17">
        <f t="shared" si="16"/>
        <v>894</v>
      </c>
      <c r="S26" s="17">
        <f t="shared" si="16"/>
        <v>1149</v>
      </c>
      <c r="T26" s="17">
        <f t="shared" ref="T26:U26" si="17">T24-T25</f>
        <v>1221</v>
      </c>
      <c r="U26" s="17">
        <f t="shared" si="17"/>
        <v>1360</v>
      </c>
      <c r="V26" s="17">
        <f t="shared" ref="V26:W26" si="18">V24-V25</f>
        <v>1190</v>
      </c>
      <c r="W26" s="17">
        <f t="shared" si="18"/>
        <v>1010</v>
      </c>
      <c r="X26" s="397">
        <f t="shared" ref="X26:Y26" si="19">X24-X25</f>
        <v>847</v>
      </c>
      <c r="Y26" s="397">
        <f t="shared" si="19"/>
        <v>727</v>
      </c>
      <c r="Z26" s="397">
        <f t="shared" ref="Z26:AA26" si="20">Z24-Z25</f>
        <v>648</v>
      </c>
      <c r="AA26" s="397">
        <f t="shared" si="20"/>
        <v>835</v>
      </c>
      <c r="AB26" s="397">
        <f t="shared" ref="AB26" si="21">AB24-AB25</f>
        <v>936</v>
      </c>
      <c r="AC26" s="397">
        <f>AC24-AC25</f>
        <v>944</v>
      </c>
      <c r="AD26" s="397">
        <f>AD24-AD25</f>
        <v>1094</v>
      </c>
      <c r="AF26" s="674"/>
    </row>
    <row r="27" spans="1:33" ht="38.25" customHeight="1">
      <c r="A27" s="10"/>
      <c r="B27" s="686" t="s">
        <v>263</v>
      </c>
      <c r="C27" s="686"/>
      <c r="D27" s="686"/>
      <c r="E27" s="586">
        <f>SUM('QTD P&amp;L'!E26:H26)</f>
        <v>201</v>
      </c>
      <c r="F27" s="586">
        <f>SUM('QTD P&amp;L'!F26:I26)</f>
        <v>324</v>
      </c>
      <c r="G27" s="586">
        <f>SUM('QTD P&amp;L'!G26:J26)</f>
        <v>110</v>
      </c>
      <c r="H27" s="586">
        <f>SUM('QTD P&amp;L'!H26:K26)</f>
        <v>300</v>
      </c>
      <c r="I27" s="586">
        <f>SUM('QTD P&amp;L'!I26:L26)</f>
        <v>324</v>
      </c>
      <c r="J27" s="586">
        <f>SUM('QTD P&amp;L'!J26:M26)</f>
        <v>359</v>
      </c>
      <c r="K27" s="586">
        <f>SUM('QTD P&amp;L'!K26:N26)</f>
        <v>412</v>
      </c>
      <c r="L27" s="586">
        <f>SUM('QTD P&amp;L'!L26:O26)</f>
        <v>530</v>
      </c>
      <c r="M27" s="586">
        <f>SUM('QTD P&amp;L'!M26:P26)</f>
        <v>643</v>
      </c>
      <c r="N27" s="586">
        <f>SUM('QTD P&amp;L'!N26:Q26)</f>
        <v>739</v>
      </c>
      <c r="O27" s="586">
        <f>SUM('QTD P&amp;L'!O26:R26)</f>
        <v>1069</v>
      </c>
      <c r="P27" s="586">
        <f>SUM('QTD P&amp;L'!P26:S26)</f>
        <v>950</v>
      </c>
      <c r="Q27" s="586">
        <f>SUM('QTD P&amp;L'!Q26:T26)</f>
        <v>801</v>
      </c>
      <c r="R27" s="586">
        <f>SUM('QTD P&amp;L'!R26:U26)</f>
        <v>876</v>
      </c>
      <c r="S27" s="586">
        <f>SUM('QTD P&amp;L'!S26:V26)</f>
        <v>1125</v>
      </c>
      <c r="T27" s="586">
        <f>SUM('QTD P&amp;L'!T26:W26)</f>
        <v>1194</v>
      </c>
      <c r="U27" s="586">
        <f>SUM('QTD P&amp;L'!U26:X26)</f>
        <v>1331</v>
      </c>
      <c r="V27" s="586">
        <f>SUM('QTD P&amp;L'!V26:Y26)</f>
        <v>1165</v>
      </c>
      <c r="W27" s="586">
        <v>987</v>
      </c>
      <c r="X27" s="587">
        <f>SUM('QTD P&amp;L'!X26:AA26)</f>
        <v>826</v>
      </c>
      <c r="Y27" s="587">
        <f>SUM('QTD P&amp;L'!Y26:AB26)</f>
        <v>708</v>
      </c>
      <c r="Z27" s="587">
        <f>SUM('QTD P&amp;L'!Z26:AC26)</f>
        <v>630</v>
      </c>
      <c r="AA27" s="587">
        <v>817</v>
      </c>
      <c r="AB27" s="587">
        <f>SUM('QTD P&amp;L'!AB26:AE26)</f>
        <v>919</v>
      </c>
      <c r="AC27" s="587">
        <f>SUM('QTD P&amp;L'!AC26:AF26)</f>
        <v>929</v>
      </c>
      <c r="AD27" s="587">
        <f>SUM('QTD P&amp;L'!AD26:AG26)</f>
        <v>1077</v>
      </c>
      <c r="AE27" s="587"/>
      <c r="AF27" s="674"/>
      <c r="AG27" s="394"/>
    </row>
    <row r="28" spans="1:33" ht="9.75" customHeight="1">
      <c r="A28" s="9"/>
      <c r="B28" s="25"/>
      <c r="C28" s="9"/>
      <c r="D28" s="9"/>
      <c r="E28" s="486"/>
      <c r="F28" s="17"/>
      <c r="G28" s="486"/>
      <c r="H28" s="486"/>
      <c r="I28" s="486"/>
      <c r="J28" s="17"/>
      <c r="K28" s="486"/>
      <c r="L28" s="486"/>
      <c r="M28" s="486"/>
      <c r="N28" s="17"/>
      <c r="O28" s="17"/>
      <c r="P28" s="17"/>
      <c r="Q28" s="17"/>
      <c r="R28" s="17"/>
      <c r="S28" s="17"/>
      <c r="T28" s="17"/>
      <c r="U28" s="17"/>
      <c r="V28" s="17"/>
      <c r="W28" s="17"/>
      <c r="X28" s="397"/>
      <c r="Y28" s="397"/>
      <c r="Z28" s="397"/>
      <c r="AA28" s="397"/>
      <c r="AB28" s="397"/>
      <c r="AC28" s="397"/>
      <c r="AD28" s="397"/>
      <c r="AF28" s="674"/>
    </row>
    <row r="29" spans="1:33" s="51" customFormat="1" ht="12.75">
      <c r="A29" s="59"/>
      <c r="B29" s="60" t="s">
        <v>32</v>
      </c>
      <c r="C29" s="60"/>
      <c r="D29" s="60"/>
      <c r="E29" s="487"/>
      <c r="F29" s="61"/>
      <c r="G29" s="487"/>
      <c r="H29" s="487"/>
      <c r="I29" s="487"/>
      <c r="J29" s="61"/>
      <c r="K29" s="487"/>
      <c r="L29" s="487"/>
      <c r="M29" s="487"/>
      <c r="N29" s="61"/>
      <c r="O29" s="61"/>
      <c r="P29" s="61"/>
      <c r="Q29" s="61"/>
      <c r="R29" s="61"/>
      <c r="S29" s="61"/>
      <c r="T29" s="61"/>
      <c r="U29" s="61"/>
      <c r="V29" s="61"/>
      <c r="W29" s="61"/>
      <c r="X29" s="398"/>
      <c r="Y29" s="398"/>
      <c r="Z29" s="398"/>
      <c r="AA29" s="398"/>
      <c r="AB29" s="398"/>
      <c r="AC29" s="398"/>
      <c r="AD29" s="398"/>
      <c r="AF29" s="674"/>
    </row>
    <row r="30" spans="1:33" s="51" customFormat="1" ht="12.75">
      <c r="A30" s="59"/>
      <c r="B30" s="60"/>
      <c r="C30" s="479" t="s">
        <v>34</v>
      </c>
      <c r="D30" s="60"/>
      <c r="E30" s="63">
        <f>SUM('QTD P&amp;L'!E29:H29)</f>
        <v>0.16</v>
      </c>
      <c r="F30" s="63">
        <f>SUM('QTD P&amp;L'!F29:I29)</f>
        <v>0.25</v>
      </c>
      <c r="G30" s="63">
        <v>9.0000000000000038E-2</v>
      </c>
      <c r="H30" s="63">
        <f>SUM('QTD P&amp;L'!H29:K29)</f>
        <v>0.22999999999999998</v>
      </c>
      <c r="I30" s="63">
        <f>SUM('QTD P&amp;L'!I29:L29)</f>
        <v>0.26</v>
      </c>
      <c r="J30" s="63">
        <f>SUM('QTD P&amp;L'!J29:M29)</f>
        <v>0.28999999999999998</v>
      </c>
      <c r="K30" s="63">
        <v>0.34</v>
      </c>
      <c r="L30" s="63">
        <f>SUM('QTD P&amp;L'!L29:O29)</f>
        <v>0.43999999999999995</v>
      </c>
      <c r="M30" s="63">
        <f>SUM('QTD P&amp;L'!M29:P29)</f>
        <v>0.55000000000000004</v>
      </c>
      <c r="N30" s="63">
        <f>SUM('QTD P&amp;L'!N29:Q29)</f>
        <v>0.64</v>
      </c>
      <c r="O30" s="63">
        <v>0.93</v>
      </c>
      <c r="P30" s="63">
        <f>SUM('QTD P&amp;L'!P29:S29)</f>
        <v>0.85000000000000009</v>
      </c>
      <c r="Q30" s="63">
        <f>SUM('QTD P&amp;L'!Q29:T29)</f>
        <v>0.72000000000000008</v>
      </c>
      <c r="R30" s="63">
        <f>SUM('QTD P&amp;L'!R29:U29)</f>
        <v>0.79</v>
      </c>
      <c r="S30" s="63">
        <v>1.01</v>
      </c>
      <c r="T30" s="63">
        <f>SUM('QTD P&amp;L'!T29:W29)</f>
        <v>1.0699999999999998</v>
      </c>
      <c r="U30" s="63">
        <f>SUM('QTD P&amp;L'!U29:X29)</f>
        <v>1.19</v>
      </c>
      <c r="V30" s="63">
        <f>SUM('QTD P&amp;L'!V29:Y29)</f>
        <v>1.04</v>
      </c>
      <c r="W30" s="63">
        <v>0.96</v>
      </c>
      <c r="X30" s="399">
        <f>SUM('QTD P&amp;L'!X29:AA29)</f>
        <v>0.96000000000000008</v>
      </c>
      <c r="Y30" s="399">
        <f>SUM('QTD P&amp;L'!Y29:AB29)</f>
        <v>0.96000000000000008</v>
      </c>
      <c r="Z30" s="399">
        <f>SUM('QTD P&amp;L'!Z29:AC29)</f>
        <v>0.88</v>
      </c>
      <c r="AA30" s="399">
        <v>1.1399999999999999</v>
      </c>
      <c r="AB30" s="399">
        <f>SUM('QTD P&amp;L'!AB29:AE29)</f>
        <v>1.28</v>
      </c>
      <c r="AC30" s="399">
        <f>SUM('QTD P&amp;L'!AC29:AF29)</f>
        <v>1.29</v>
      </c>
      <c r="AD30" s="399">
        <f>SUM('QTD P&amp;L'!AD29:AG29)</f>
        <v>1.49</v>
      </c>
      <c r="AF30" s="675"/>
    </row>
    <row r="31" spans="1:33" s="51" customFormat="1" ht="12.75">
      <c r="A31" s="59"/>
      <c r="B31" s="60"/>
      <c r="C31" s="479" t="s">
        <v>35</v>
      </c>
      <c r="D31" s="60"/>
      <c r="E31" s="63">
        <f>SUM('QTD P&amp;L'!E30:H30)</f>
        <v>0.16</v>
      </c>
      <c r="F31" s="63">
        <f>SUM('QTD P&amp;L'!F30:I30)</f>
        <v>0.25</v>
      </c>
      <c r="G31" s="63">
        <v>9.0000000000000038E-2</v>
      </c>
      <c r="H31" s="63">
        <f>SUM('QTD P&amp;L'!H30:K30)</f>
        <v>0.22999999999999998</v>
      </c>
      <c r="I31" s="63">
        <f>SUM('QTD P&amp;L'!I30:L30)</f>
        <v>0.25</v>
      </c>
      <c r="J31" s="63">
        <f>SUM('QTD P&amp;L'!J30:M30)</f>
        <v>0.27999999999999997</v>
      </c>
      <c r="K31" s="63">
        <v>0.33</v>
      </c>
      <c r="L31" s="63">
        <f>SUM('QTD P&amp;L'!L30:O30)</f>
        <v>0.43</v>
      </c>
      <c r="M31" s="63">
        <f>SUM('QTD P&amp;L'!M30:P30)</f>
        <v>0.55000000000000004</v>
      </c>
      <c r="N31" s="63">
        <f>SUM('QTD P&amp;L'!N30:Q30)</f>
        <v>0.64</v>
      </c>
      <c r="O31" s="63">
        <v>0.92</v>
      </c>
      <c r="P31" s="63">
        <f>SUM('QTD P&amp;L'!P30:S30)</f>
        <v>0.83000000000000007</v>
      </c>
      <c r="Q31" s="63">
        <f>SUM('QTD P&amp;L'!Q30:T30)</f>
        <v>0.70000000000000007</v>
      </c>
      <c r="R31" s="63">
        <f>SUM('QTD P&amp;L'!R30:U30)</f>
        <v>0.77</v>
      </c>
      <c r="S31" s="63">
        <v>1.01</v>
      </c>
      <c r="T31" s="63">
        <f>SUM('QTD P&amp;L'!T30:W30)</f>
        <v>1.0699999999999998</v>
      </c>
      <c r="U31" s="63">
        <f>SUM('QTD P&amp;L'!U30:X30)</f>
        <v>1.19</v>
      </c>
      <c r="V31" s="63">
        <f>SUM('QTD P&amp;L'!V30:Y30)</f>
        <v>1.04</v>
      </c>
      <c r="W31" s="63">
        <v>0.95</v>
      </c>
      <c r="X31" s="399">
        <f>SUM('QTD P&amp;L'!X30:AA30)</f>
        <v>0.95000000000000007</v>
      </c>
      <c r="Y31" s="399">
        <f>SUM('QTD P&amp;L'!Y30:AB30)</f>
        <v>0.95000000000000007</v>
      </c>
      <c r="Z31" s="399">
        <f>SUM('QTD P&amp;L'!Z30:AC30)</f>
        <v>0.87</v>
      </c>
      <c r="AA31" s="399">
        <v>1.1299999999999999</v>
      </c>
      <c r="AB31" s="399">
        <f>SUM('QTD P&amp;L'!AB30:AE30)</f>
        <v>1.27</v>
      </c>
      <c r="AC31" s="399">
        <f>SUM('QTD P&amp;L'!AC30:AF30)</f>
        <v>1.28</v>
      </c>
      <c r="AD31" s="399">
        <f>SUM('QTD P&amp;L'!AD30:AG30)</f>
        <v>1.48</v>
      </c>
      <c r="AF31" s="675"/>
    </row>
    <row r="32" spans="1:33" s="51" customFormat="1" ht="4.1500000000000004" customHeight="1">
      <c r="A32" s="59"/>
      <c r="B32" s="60"/>
      <c r="C32" s="60"/>
      <c r="D32" s="60"/>
      <c r="E32" s="488"/>
      <c r="G32" s="488"/>
      <c r="H32" s="488"/>
      <c r="I32" s="488"/>
      <c r="K32" s="488"/>
      <c r="L32" s="488"/>
      <c r="M32" s="455"/>
      <c r="N32" s="455"/>
      <c r="O32" s="455"/>
      <c r="P32" s="455"/>
      <c r="Q32" s="455"/>
      <c r="R32" s="455"/>
      <c r="S32" s="455"/>
      <c r="T32" s="455"/>
      <c r="U32" s="455"/>
      <c r="V32" s="455"/>
      <c r="W32" s="455"/>
      <c r="X32" s="455"/>
      <c r="Y32" s="455"/>
      <c r="Z32" s="455"/>
      <c r="AA32" s="455"/>
      <c r="AB32" s="455"/>
      <c r="AC32" s="455"/>
      <c r="AD32" s="455"/>
      <c r="AF32" s="674"/>
    </row>
    <row r="33" spans="1:32" s="51" customFormat="1">
      <c r="A33" s="59"/>
      <c r="B33" s="64" t="s">
        <v>33</v>
      </c>
      <c r="C33" s="59"/>
      <c r="D33" s="60"/>
      <c r="E33" s="488"/>
      <c r="G33" s="488"/>
      <c r="H33" s="488"/>
      <c r="I33" s="488"/>
      <c r="K33" s="488"/>
      <c r="L33" s="488"/>
      <c r="M33" s="455"/>
      <c r="N33" s="455"/>
      <c r="O33" s="455"/>
      <c r="P33" s="455"/>
      <c r="Q33" s="455"/>
      <c r="R33" s="455"/>
      <c r="S33" s="455"/>
      <c r="T33" s="455"/>
      <c r="U33" s="455"/>
      <c r="V33" s="455"/>
      <c r="W33" s="455"/>
      <c r="X33" s="455"/>
      <c r="Y33" s="455"/>
      <c r="Z33" s="455"/>
      <c r="AA33" s="455"/>
      <c r="AB33" s="455"/>
      <c r="AC33" s="455"/>
      <c r="AD33" s="455"/>
      <c r="AF33" s="674"/>
    </row>
    <row r="34" spans="1:32" s="51" customFormat="1" ht="12.75">
      <c r="A34" s="59"/>
      <c r="B34" s="60"/>
      <c r="C34" s="62" t="s">
        <v>34</v>
      </c>
      <c r="D34" s="60"/>
      <c r="E34" s="65">
        <f>AVERAGE('QTD P&amp;L'!E33:H33)</f>
        <v>1298.5</v>
      </c>
      <c r="F34" s="65">
        <f>AVERAGE('QTD P&amp;L'!F33:I33)</f>
        <v>1298.5</v>
      </c>
      <c r="G34" s="65">
        <v>1283</v>
      </c>
      <c r="H34" s="65">
        <f>AVERAGE('QTD P&amp;L'!H33:K33)</f>
        <v>1268.25</v>
      </c>
      <c r="I34" s="65">
        <f>AVERAGE('QTD P&amp;L'!I33:L33)</f>
        <v>1254</v>
      </c>
      <c r="J34" s="65">
        <f>AVERAGE('QTD P&amp;L'!J33:M33)</f>
        <v>1239.25</v>
      </c>
      <c r="K34" s="65">
        <v>1222</v>
      </c>
      <c r="L34" s="65">
        <f>AVERAGE('QTD P&amp;L'!L33:O33)</f>
        <v>1203.75</v>
      </c>
      <c r="M34" s="65">
        <f>AVERAGE('QTD P&amp;L'!M33:P33)</f>
        <v>1181</v>
      </c>
      <c r="N34" s="65">
        <f>AVERAGE('QTD P&amp;L'!N33:Q33)</f>
        <v>1163</v>
      </c>
      <c r="O34" s="65">
        <v>1148</v>
      </c>
      <c r="P34" s="65">
        <f>AVERAGE('QTD P&amp;L'!P33:S33)</f>
        <v>1135</v>
      </c>
      <c r="Q34" s="65">
        <f>AVERAGE('QTD P&amp;L'!Q33:T33)</f>
        <v>1127</v>
      </c>
      <c r="R34" s="65">
        <f>AVERAGE('QTD P&amp;L'!R33:U33)</f>
        <v>1119.25</v>
      </c>
      <c r="S34" s="65">
        <v>1112</v>
      </c>
      <c r="T34" s="65">
        <f>AVERAGE('QTD P&amp;L'!T33:W33)</f>
        <v>1110.5</v>
      </c>
      <c r="U34" s="65">
        <f>AVERAGE('QTD P&amp;L'!U33:X33)</f>
        <v>1112.75</v>
      </c>
      <c r="V34" s="65">
        <f>AVERAGE('QTD P&amp;L'!V33:Y33)</f>
        <v>1116</v>
      </c>
      <c r="W34" s="65">
        <v>1024</v>
      </c>
      <c r="X34" s="65">
        <f>AVERAGE('QTD P&amp;L'!X33:AA33)</f>
        <v>923.5</v>
      </c>
      <c r="Y34" s="65">
        <f>AVERAGE('QTD P&amp;L'!Y33:AB33)</f>
        <v>823</v>
      </c>
      <c r="Z34" s="65">
        <f>AVERAGE('QTD P&amp;L'!Z33:AC33)</f>
        <v>722</v>
      </c>
      <c r="AA34" s="65">
        <v>716</v>
      </c>
      <c r="AB34" s="65">
        <f>AVERAGE('QTD P&amp;L'!AB33:AE33)</f>
        <v>719.25</v>
      </c>
      <c r="AC34" s="65">
        <f>AVERAGE('QTD P&amp;L'!AC33:AF33)</f>
        <v>722</v>
      </c>
      <c r="AD34" s="65">
        <f>AVERAGE('QTD P&amp;L'!AD33:AG33)</f>
        <v>725</v>
      </c>
      <c r="AF34" s="674"/>
    </row>
    <row r="35" spans="1:32" s="51" customFormat="1" ht="12.75">
      <c r="A35" s="59"/>
      <c r="B35" s="60"/>
      <c r="C35" s="62" t="s">
        <v>35</v>
      </c>
      <c r="D35" s="60"/>
      <c r="E35" s="65">
        <f>AVERAGE('QTD P&amp;L'!E34:H34)</f>
        <v>1322</v>
      </c>
      <c r="F35" s="65">
        <f>AVERAGE('QTD P&amp;L'!F34:I34)</f>
        <v>1328.5</v>
      </c>
      <c r="G35" s="65">
        <v>1311</v>
      </c>
      <c r="H35" s="65">
        <f>AVERAGE('QTD P&amp;L'!H34:K34)</f>
        <v>1289.5</v>
      </c>
      <c r="I35" s="65">
        <f>AVERAGE('QTD P&amp;L'!I34:L34)</f>
        <v>1268.5</v>
      </c>
      <c r="J35" s="65">
        <f>AVERAGE('QTD P&amp;L'!J34:M34)</f>
        <v>1251</v>
      </c>
      <c r="K35" s="65">
        <v>1236</v>
      </c>
      <c r="L35" s="65">
        <f>AVERAGE('QTD P&amp;L'!L34:O34)</f>
        <v>1213.75</v>
      </c>
      <c r="M35" s="65">
        <f>AVERAGE('QTD P&amp;L'!M34:P34)</f>
        <v>1189.25</v>
      </c>
      <c r="N35" s="65">
        <f>AVERAGE('QTD P&amp;L'!N34:Q34)</f>
        <v>1169.5</v>
      </c>
      <c r="O35" s="65">
        <v>1156</v>
      </c>
      <c r="P35" s="65">
        <f>AVERAGE('QTD P&amp;L'!P34:S34)</f>
        <v>1143</v>
      </c>
      <c r="Q35" s="65">
        <f>AVERAGE('QTD P&amp;L'!Q34:T34)</f>
        <v>1134.25</v>
      </c>
      <c r="R35" s="65">
        <f>AVERAGE('QTD P&amp;L'!R34:U34)</f>
        <v>1125.75</v>
      </c>
      <c r="S35" s="65">
        <v>1118</v>
      </c>
      <c r="T35" s="65">
        <f>AVERAGE('QTD P&amp;L'!T34:W34)</f>
        <v>1116</v>
      </c>
      <c r="U35" s="65">
        <f>AVERAGE('QTD P&amp;L'!U34:X34)</f>
        <v>1119</v>
      </c>
      <c r="V35" s="65">
        <f>AVERAGE('QTD P&amp;L'!V34:Y34)</f>
        <v>1124</v>
      </c>
      <c r="W35" s="65">
        <v>1035</v>
      </c>
      <c r="X35" s="65">
        <f>AVERAGE('QTD P&amp;L'!X34:AA34)</f>
        <v>934.5</v>
      </c>
      <c r="Y35" s="65">
        <f>AVERAGE('QTD P&amp;L'!Y34:AB34)</f>
        <v>834</v>
      </c>
      <c r="Z35" s="65">
        <f>AVERAGE('QTD P&amp;L'!Z34:AC34)</f>
        <v>730</v>
      </c>
      <c r="AA35" s="65">
        <v>726</v>
      </c>
      <c r="AB35" s="65">
        <f>AVERAGE('QTD P&amp;L'!AB34:AE34)</f>
        <v>725.75</v>
      </c>
      <c r="AC35" s="65">
        <f>AVERAGE('QTD P&amp;L'!AC34:AF34)</f>
        <v>728.25</v>
      </c>
      <c r="AD35" s="65">
        <f>AVERAGE('QTD P&amp;L'!AD34:AG34)</f>
        <v>733.5</v>
      </c>
      <c r="AF35" s="674"/>
    </row>
    <row r="36" spans="1:32" s="51" customFormat="1">
      <c r="A36" s="59"/>
      <c r="B36" s="60"/>
      <c r="C36" s="18" t="s">
        <v>286</v>
      </c>
      <c r="D36" s="60"/>
      <c r="E36" s="647">
        <f>AVERAGE('QTD P&amp;L'!E35:H35)</f>
        <v>5</v>
      </c>
      <c r="F36" s="647">
        <f>AVERAGE('QTD P&amp;L'!F35:I35)</f>
        <v>7.5</v>
      </c>
      <c r="G36" s="647">
        <v>10</v>
      </c>
      <c r="H36" s="647">
        <f>AVERAGE('QTD P&amp;L'!H35:K35)</f>
        <v>10.5</v>
      </c>
      <c r="I36" s="647">
        <f>AVERAGE('QTD P&amp;L'!I35:L35)</f>
        <v>10.5</v>
      </c>
      <c r="J36" s="647">
        <f>AVERAGE('QTD P&amp;L'!J35:M35)</f>
        <v>10.75</v>
      </c>
      <c r="K36" s="647">
        <f>AVERAGE('QTD P&amp;L'!K35:N35)</f>
        <v>11.75</v>
      </c>
      <c r="L36" s="647">
        <f>AVERAGE('QTD P&amp;L'!L35:O35)</f>
        <v>13.25</v>
      </c>
      <c r="M36" s="647">
        <f>AVERAGE('QTD P&amp;L'!M35:P35)</f>
        <v>15</v>
      </c>
      <c r="N36" s="647">
        <f>AVERAGE('QTD P&amp;L'!N35:Q35)</f>
        <v>16.5</v>
      </c>
      <c r="O36" s="647">
        <f>AVERAGE('QTD P&amp;L'!O35:R35)</f>
        <v>17</v>
      </c>
      <c r="P36" s="647">
        <f>AVERAGE('QTD P&amp;L'!P35:S35)</f>
        <v>17.5</v>
      </c>
      <c r="Q36" s="647">
        <f>AVERAGE('QTD P&amp;L'!Q35:T35)</f>
        <v>19.25</v>
      </c>
      <c r="R36" s="647">
        <f>AVERAGE('QTD P&amp;L'!R35:U35)</f>
        <v>21.75</v>
      </c>
      <c r="S36" s="647">
        <f>AVERAGE('QTD P&amp;L'!S35:V35)</f>
        <v>24.25</v>
      </c>
      <c r="T36" s="647">
        <f>AVERAGE('QTD P&amp;L'!T35:W35)</f>
        <v>26</v>
      </c>
      <c r="U36" s="647">
        <f>AVERAGE('QTD P&amp;L'!U35:X35)</f>
        <v>26</v>
      </c>
      <c r="V36" s="647">
        <f>AVERAGE('QTD P&amp;L'!V35:Y35)</f>
        <v>25.25</v>
      </c>
      <c r="W36" s="647">
        <v>24</v>
      </c>
      <c r="X36" s="647">
        <f>AVERAGE('QTD P&amp;L'!X35:AA35)</f>
        <v>22</v>
      </c>
      <c r="Y36" s="647">
        <f>AVERAGE('QTD P&amp;L'!Y35:AB35)</f>
        <v>20</v>
      </c>
      <c r="Z36" s="647">
        <f>AVERAGE('QTD P&amp;L'!Z35:AC35)</f>
        <v>17.5</v>
      </c>
      <c r="AA36" s="647">
        <v>15</v>
      </c>
      <c r="AB36" s="647">
        <f>AVERAGE('QTD P&amp;L'!AB35:AE35)</f>
        <v>13</v>
      </c>
      <c r="AC36" s="647">
        <f>AVERAGE('QTD P&amp;L'!AC35:AF35)</f>
        <v>11.25</v>
      </c>
      <c r="AD36" s="647">
        <f>AVERAGE('QTD P&amp;L'!AD35:AG35)</f>
        <v>9.75</v>
      </c>
      <c r="AF36" s="674"/>
    </row>
    <row r="37" spans="1:32" s="51" customFormat="1" ht="12.75">
      <c r="A37" s="59"/>
      <c r="B37" s="60"/>
      <c r="C37" s="18" t="s">
        <v>305</v>
      </c>
      <c r="D37" s="60"/>
      <c r="E37" s="65">
        <f>SUM(E35:E36)</f>
        <v>1327</v>
      </c>
      <c r="F37" s="65">
        <f t="shared" ref="F37:W37" si="22">SUM(F35:F36)</f>
        <v>1336</v>
      </c>
      <c r="G37" s="65">
        <f t="shared" si="22"/>
        <v>1321</v>
      </c>
      <c r="H37" s="65">
        <f t="shared" si="22"/>
        <v>1300</v>
      </c>
      <c r="I37" s="65">
        <f t="shared" si="22"/>
        <v>1279</v>
      </c>
      <c r="J37" s="65">
        <f t="shared" si="22"/>
        <v>1261.75</v>
      </c>
      <c r="K37" s="65">
        <f t="shared" si="22"/>
        <v>1247.75</v>
      </c>
      <c r="L37" s="65">
        <f t="shared" si="22"/>
        <v>1227</v>
      </c>
      <c r="M37" s="65">
        <f t="shared" si="22"/>
        <v>1204.25</v>
      </c>
      <c r="N37" s="65">
        <f t="shared" si="22"/>
        <v>1186</v>
      </c>
      <c r="O37" s="65">
        <f t="shared" si="22"/>
        <v>1173</v>
      </c>
      <c r="P37" s="65">
        <f t="shared" si="22"/>
        <v>1160.5</v>
      </c>
      <c r="Q37" s="65">
        <f t="shared" si="22"/>
        <v>1153.5</v>
      </c>
      <c r="R37" s="65">
        <f t="shared" si="22"/>
        <v>1147.5</v>
      </c>
      <c r="S37" s="65">
        <f t="shared" si="22"/>
        <v>1142.25</v>
      </c>
      <c r="T37" s="65">
        <f t="shared" si="22"/>
        <v>1142</v>
      </c>
      <c r="U37" s="65">
        <f t="shared" si="22"/>
        <v>1145</v>
      </c>
      <c r="V37" s="65">
        <f t="shared" si="22"/>
        <v>1149.25</v>
      </c>
      <c r="W37" s="65">
        <f t="shared" si="22"/>
        <v>1059</v>
      </c>
      <c r="X37" s="65">
        <f t="shared" ref="X37:Y37" si="23">SUM(X35:X36)</f>
        <v>956.5</v>
      </c>
      <c r="Y37" s="65">
        <f t="shared" si="23"/>
        <v>854</v>
      </c>
      <c r="Z37" s="65">
        <f t="shared" ref="Z37:AA37" si="24">SUM(Z35:Z36)</f>
        <v>747.5</v>
      </c>
      <c r="AA37" s="65">
        <f t="shared" si="24"/>
        <v>741</v>
      </c>
      <c r="AB37" s="65">
        <f t="shared" ref="AB37:AC37" si="25">SUM(AB35:AB36)</f>
        <v>738.75</v>
      </c>
      <c r="AC37" s="65">
        <f t="shared" si="25"/>
        <v>739.5</v>
      </c>
      <c r="AD37" s="65">
        <f>SUM(AD35:AD36)</f>
        <v>743.25</v>
      </c>
      <c r="AF37" s="674"/>
    </row>
    <row r="38" spans="1:32" s="51" customFormat="1" ht="12.75">
      <c r="A38" s="59"/>
      <c r="B38" s="60"/>
      <c r="C38" s="62"/>
      <c r="D38" s="60"/>
      <c r="E38" s="67"/>
      <c r="F38" s="67"/>
      <c r="G38" s="67"/>
      <c r="H38" s="67"/>
      <c r="I38" s="67"/>
      <c r="J38" s="67"/>
      <c r="K38" s="67"/>
      <c r="L38" s="67"/>
      <c r="M38" s="456"/>
      <c r="N38" s="456"/>
      <c r="O38" s="456"/>
      <c r="P38" s="456"/>
      <c r="Q38" s="456"/>
      <c r="R38" s="456"/>
      <c r="S38" s="456"/>
      <c r="T38" s="456"/>
      <c r="U38" s="456"/>
      <c r="V38" s="456"/>
      <c r="W38" s="456"/>
      <c r="X38" s="456"/>
      <c r="Y38" s="456"/>
      <c r="Z38" s="456"/>
      <c r="AA38" s="456"/>
      <c r="AB38" s="456"/>
      <c r="AC38" s="456"/>
      <c r="AD38" s="456"/>
      <c r="AF38" s="674"/>
    </row>
    <row r="39" spans="1:32" ht="12.75">
      <c r="A39" s="20" t="s">
        <v>38</v>
      </c>
      <c r="B39" s="29"/>
      <c r="C39" s="18"/>
      <c r="D39" s="29"/>
      <c r="E39" s="34"/>
      <c r="F39" s="34"/>
      <c r="G39" s="34"/>
      <c r="H39" s="34"/>
      <c r="I39" s="34"/>
      <c r="J39" s="34"/>
      <c r="K39" s="34"/>
      <c r="L39" s="34"/>
      <c r="M39" s="457"/>
      <c r="N39" s="457"/>
      <c r="O39" s="457"/>
      <c r="P39" s="457"/>
      <c r="Q39" s="457"/>
      <c r="R39" s="457"/>
      <c r="S39" s="457"/>
      <c r="T39" s="457"/>
      <c r="U39" s="457"/>
      <c r="V39" s="457"/>
      <c r="W39" s="457"/>
      <c r="X39" s="457"/>
      <c r="Y39" s="457"/>
      <c r="Z39" s="457"/>
      <c r="AA39" s="457"/>
      <c r="AB39" s="457"/>
      <c r="AC39" s="457"/>
      <c r="AD39" s="457"/>
      <c r="AF39" s="674"/>
    </row>
    <row r="40" spans="1:32" ht="12.75">
      <c r="A40" s="32"/>
      <c r="B40" s="29"/>
      <c r="C40" s="18"/>
      <c r="D40" s="29"/>
      <c r="E40" s="19" t="str">
        <f t="shared" ref="E40:M40" si="26">E6</f>
        <v>Q2</v>
      </c>
      <c r="F40" s="19" t="str">
        <f t="shared" si="26"/>
        <v>Q3</v>
      </c>
      <c r="G40" s="19" t="str">
        <f t="shared" si="26"/>
        <v>Q4</v>
      </c>
      <c r="H40" s="19" t="str">
        <f t="shared" si="26"/>
        <v>Q1</v>
      </c>
      <c r="I40" s="19" t="str">
        <f t="shared" si="26"/>
        <v>Q2</v>
      </c>
      <c r="J40" s="19" t="str">
        <f t="shared" si="26"/>
        <v>Q3</v>
      </c>
      <c r="K40" s="19" t="str">
        <f t="shared" si="26"/>
        <v>Q4</v>
      </c>
      <c r="L40" s="19" t="str">
        <f t="shared" si="26"/>
        <v>Q1</v>
      </c>
      <c r="M40" s="19" t="str">
        <f t="shared" si="26"/>
        <v>Q2</v>
      </c>
      <c r="N40" s="19" t="str">
        <f t="shared" ref="N40:O40" si="27">N6</f>
        <v>Q3</v>
      </c>
      <c r="O40" s="19" t="str">
        <f t="shared" si="27"/>
        <v>Q4</v>
      </c>
      <c r="P40" s="19" t="str">
        <f t="shared" ref="P40:Q40" si="28">P6</f>
        <v>Q1</v>
      </c>
      <c r="Q40" s="19" t="str">
        <f t="shared" si="28"/>
        <v>Q2</v>
      </c>
      <c r="R40" s="19" t="str">
        <f t="shared" ref="R40:S40" si="29">R6</f>
        <v>Q3</v>
      </c>
      <c r="S40" s="19" t="str">
        <f t="shared" si="29"/>
        <v>Q4</v>
      </c>
      <c r="T40" s="19" t="str">
        <f t="shared" ref="T40:U40" si="30">T6</f>
        <v>Q1</v>
      </c>
      <c r="U40" s="19" t="str">
        <f t="shared" si="30"/>
        <v>Q2</v>
      </c>
      <c r="V40" s="19" t="str">
        <f t="shared" ref="V40:W40" si="31">V6</f>
        <v>Q3</v>
      </c>
      <c r="W40" s="19" t="str">
        <f t="shared" si="31"/>
        <v>Q4</v>
      </c>
      <c r="X40" s="19" t="str">
        <f t="shared" ref="X40:Y40" si="32">X6</f>
        <v>Q1</v>
      </c>
      <c r="Y40" s="19" t="str">
        <f t="shared" si="32"/>
        <v>Q2</v>
      </c>
      <c r="Z40" s="19" t="str">
        <f t="shared" ref="Z40:AA40" si="33">Z6</f>
        <v>Q3</v>
      </c>
      <c r="AA40" s="19" t="str">
        <f t="shared" si="33"/>
        <v>Q4</v>
      </c>
      <c r="AB40" s="19" t="str">
        <f t="shared" ref="AB40:AC40" si="34">AB6</f>
        <v>Q1</v>
      </c>
      <c r="AC40" s="19" t="str">
        <f t="shared" si="34"/>
        <v>Q2</v>
      </c>
      <c r="AD40" s="19" t="str">
        <f t="shared" ref="AD40" si="35">AD6</f>
        <v>Q3</v>
      </c>
      <c r="AF40" s="674"/>
    </row>
    <row r="41" spans="1:32" ht="12.75">
      <c r="A41" s="32"/>
      <c r="B41" s="29"/>
      <c r="C41" s="18"/>
      <c r="D41" s="29"/>
      <c r="E41" s="19" t="str">
        <f t="shared" ref="E41:M41" si="36">E7</f>
        <v>CY09</v>
      </c>
      <c r="F41" s="19" t="str">
        <f t="shared" si="36"/>
        <v>CY09</v>
      </c>
      <c r="G41" s="19" t="str">
        <f t="shared" si="36"/>
        <v>CY09</v>
      </c>
      <c r="H41" s="19" t="str">
        <f t="shared" si="36"/>
        <v>CY10</v>
      </c>
      <c r="I41" s="19" t="str">
        <f t="shared" si="36"/>
        <v>CY10</v>
      </c>
      <c r="J41" s="19" t="str">
        <f t="shared" si="36"/>
        <v>CY10</v>
      </c>
      <c r="K41" s="19" t="str">
        <f t="shared" si="36"/>
        <v>CY10</v>
      </c>
      <c r="L41" s="19" t="str">
        <f t="shared" si="36"/>
        <v>CY11</v>
      </c>
      <c r="M41" s="19" t="str">
        <f t="shared" si="36"/>
        <v>CY11</v>
      </c>
      <c r="N41" s="19" t="str">
        <f t="shared" ref="N41:O41" si="37">N7</f>
        <v>CY11</v>
      </c>
      <c r="O41" s="19" t="str">
        <f t="shared" si="37"/>
        <v>CY11</v>
      </c>
      <c r="P41" s="19" t="str">
        <f t="shared" ref="P41:Q41" si="38">P7</f>
        <v>CY12</v>
      </c>
      <c r="Q41" s="19" t="str">
        <f t="shared" si="38"/>
        <v>CY12</v>
      </c>
      <c r="R41" s="19" t="str">
        <f t="shared" ref="R41:S41" si="39">R7</f>
        <v>CY12</v>
      </c>
      <c r="S41" s="19" t="str">
        <f t="shared" si="39"/>
        <v>CY12</v>
      </c>
      <c r="T41" s="19" t="str">
        <f t="shared" ref="T41:U41" si="40">T7</f>
        <v>CY13</v>
      </c>
      <c r="U41" s="19" t="str">
        <f t="shared" si="40"/>
        <v>CY13</v>
      </c>
      <c r="V41" s="19" t="str">
        <f t="shared" ref="V41:W41" si="41">V7</f>
        <v>CY13</v>
      </c>
      <c r="W41" s="19" t="str">
        <f t="shared" si="41"/>
        <v>CY13</v>
      </c>
      <c r="X41" s="19" t="str">
        <f t="shared" ref="X41:Y41" si="42">X7</f>
        <v>CY14</v>
      </c>
      <c r="Y41" s="19" t="str">
        <f t="shared" si="42"/>
        <v>CY14</v>
      </c>
      <c r="Z41" s="19" t="str">
        <f t="shared" ref="Z41:AA41" si="43">Z7</f>
        <v>CY14</v>
      </c>
      <c r="AA41" s="19" t="str">
        <f t="shared" si="43"/>
        <v>CY14</v>
      </c>
      <c r="AB41" s="19" t="str">
        <f t="shared" ref="AB41:AC41" si="44">AB7</f>
        <v>CY15</v>
      </c>
      <c r="AC41" s="19" t="str">
        <f t="shared" si="44"/>
        <v>CY15</v>
      </c>
      <c r="AD41" s="19" t="str">
        <f t="shared" ref="AD41" si="45">AD7</f>
        <v>CY15</v>
      </c>
      <c r="AF41" s="674"/>
    </row>
    <row r="42" spans="1:32" ht="12.75">
      <c r="A42" s="32"/>
      <c r="B42" s="29"/>
      <c r="C42" s="18"/>
      <c r="D42" s="29"/>
      <c r="E42" s="45" t="s">
        <v>218</v>
      </c>
      <c r="F42" s="45" t="s">
        <v>218</v>
      </c>
      <c r="G42" s="45" t="s">
        <v>218</v>
      </c>
      <c r="H42" s="45" t="s">
        <v>218</v>
      </c>
      <c r="I42" s="45" t="s">
        <v>218</v>
      </c>
      <c r="J42" s="45" t="s">
        <v>218</v>
      </c>
      <c r="K42" s="45" t="s">
        <v>218</v>
      </c>
      <c r="L42" s="45" t="s">
        <v>218</v>
      </c>
      <c r="M42" s="45" t="s">
        <v>218</v>
      </c>
      <c r="N42" s="45" t="s">
        <v>218</v>
      </c>
      <c r="O42" s="45" t="s">
        <v>218</v>
      </c>
      <c r="P42" s="45" t="s">
        <v>218</v>
      </c>
      <c r="Q42" s="45" t="s">
        <v>218</v>
      </c>
      <c r="R42" s="45" t="s">
        <v>218</v>
      </c>
      <c r="S42" s="45" t="s">
        <v>218</v>
      </c>
      <c r="T42" s="45" t="s">
        <v>218</v>
      </c>
      <c r="U42" s="45" t="s">
        <v>218</v>
      </c>
      <c r="V42" s="45" t="s">
        <v>218</v>
      </c>
      <c r="W42" s="45" t="s">
        <v>218</v>
      </c>
      <c r="X42" s="45" t="s">
        <v>218</v>
      </c>
      <c r="Y42" s="45" t="s">
        <v>218</v>
      </c>
      <c r="Z42" s="45" t="s">
        <v>218</v>
      </c>
      <c r="AA42" s="45" t="s">
        <v>218</v>
      </c>
      <c r="AB42" s="45" t="s">
        <v>218</v>
      </c>
      <c r="AC42" s="45" t="s">
        <v>218</v>
      </c>
      <c r="AD42" s="45" t="s">
        <v>218</v>
      </c>
      <c r="AF42" s="674"/>
    </row>
    <row r="43" spans="1:32" ht="12.75">
      <c r="A43" s="32"/>
      <c r="B43" s="29"/>
      <c r="C43" s="18"/>
      <c r="D43" s="29"/>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F43" s="674"/>
    </row>
    <row r="44" spans="1:32" ht="12.75">
      <c r="A44" s="32"/>
      <c r="B44" s="1" t="s">
        <v>203</v>
      </c>
      <c r="C44" s="18"/>
      <c r="D44" s="29"/>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F44" s="674"/>
    </row>
    <row r="45" spans="1:32" s="48" customFormat="1" ht="12.75">
      <c r="A45" s="10"/>
      <c r="C45" s="2" t="s">
        <v>214</v>
      </c>
      <c r="D45" s="10"/>
      <c r="E45" s="39">
        <f t="shared" ref="E45:M45" si="46">E12/E$10</f>
        <v>0.38017853055619133</v>
      </c>
      <c r="F45" s="39">
        <f t="shared" si="46"/>
        <v>0.35932125659252467</v>
      </c>
      <c r="G45" s="39">
        <f t="shared" si="46"/>
        <v>0.33465763028745033</v>
      </c>
      <c r="H45" s="39">
        <f t="shared" si="46"/>
        <v>0.31980026052974381</v>
      </c>
      <c r="I45" s="39">
        <f t="shared" si="46"/>
        <v>0.31466372657111358</v>
      </c>
      <c r="J45" s="39">
        <f t="shared" si="46"/>
        <v>0.31374262617435</v>
      </c>
      <c r="K45" s="39">
        <f t="shared" si="46"/>
        <v>0.30357544411963122</v>
      </c>
      <c r="L45" s="39">
        <f t="shared" si="46"/>
        <v>0.28618134263295553</v>
      </c>
      <c r="M45" s="39">
        <f t="shared" si="46"/>
        <v>0.27082022236207259</v>
      </c>
      <c r="N45" s="39">
        <f t="shared" ref="N45:S59" si="47">N12/N$10</f>
        <v>0.25858458961474035</v>
      </c>
      <c r="O45" s="39">
        <f t="shared" si="47"/>
        <v>0.2384858044164038</v>
      </c>
      <c r="P45" s="39">
        <f t="shared" si="47"/>
        <v>0.24358115650814913</v>
      </c>
      <c r="Q45" s="39">
        <f t="shared" si="47"/>
        <v>0.25113430127041741</v>
      </c>
      <c r="R45" s="39">
        <f t="shared" si="47"/>
        <v>0.24805339265850945</v>
      </c>
      <c r="S45" s="39">
        <f t="shared" si="47"/>
        <v>0.2298187808896211</v>
      </c>
      <c r="T45" s="39">
        <f t="shared" ref="T45" si="48">T12/T$10</f>
        <v>0.22324281150159744</v>
      </c>
      <c r="U45" s="39">
        <f t="shared" ref="U45:Z45" si="49">U12/U$10</f>
        <v>0.21432871763997591</v>
      </c>
      <c r="V45" s="39">
        <f t="shared" si="49"/>
        <v>0.2137388785433478</v>
      </c>
      <c r="W45" s="39">
        <f t="shared" si="49"/>
        <v>0.22976216452105608</v>
      </c>
      <c r="X45" s="39">
        <f t="shared" si="49"/>
        <v>0.23272311212814645</v>
      </c>
      <c r="Y45" s="39">
        <f t="shared" si="49"/>
        <v>0.23892773892773891</v>
      </c>
      <c r="Z45" s="39">
        <f t="shared" si="49"/>
        <v>0.24586397058823528</v>
      </c>
      <c r="AA45" s="39">
        <f t="shared" ref="AA45:AB45" si="50">AA12/AA$10</f>
        <v>0.22663339382940109</v>
      </c>
      <c r="AB45" s="39">
        <f t="shared" si="50"/>
        <v>0.21503496503496503</v>
      </c>
      <c r="AC45" s="39">
        <f t="shared" ref="AC45:AD59" si="51">AC12/AC$10</f>
        <v>0.20494623655913979</v>
      </c>
      <c r="AD45" s="39">
        <f>AD12/AD$10</f>
        <v>0.20298751790464498</v>
      </c>
      <c r="AF45" s="674"/>
    </row>
    <row r="46" spans="1:32" s="48" customFormat="1" ht="12.75">
      <c r="A46" s="10"/>
      <c r="C46" s="2" t="s">
        <v>313</v>
      </c>
      <c r="D46" s="10"/>
      <c r="E46" s="39">
        <f t="shared" ref="E46:M46" si="52">E13/E$10</f>
        <v>4.5548180361638817E-2</v>
      </c>
      <c r="F46" s="39">
        <f t="shared" si="52"/>
        <v>4.8383398303141478E-2</v>
      </c>
      <c r="G46" s="39">
        <f t="shared" si="52"/>
        <v>4.9544286048142087E-2</v>
      </c>
      <c r="H46" s="39">
        <f t="shared" si="52"/>
        <v>4.7329570125922711E-2</v>
      </c>
      <c r="I46" s="39">
        <f t="shared" si="52"/>
        <v>4.8952590959206177E-2</v>
      </c>
      <c r="J46" s="39">
        <f t="shared" si="52"/>
        <v>5.0469740004369677E-2</v>
      </c>
      <c r="K46" s="39">
        <f t="shared" si="52"/>
        <v>5.621767483696874E-2</v>
      </c>
      <c r="L46" s="39">
        <f t="shared" si="52"/>
        <v>5.6887532693984305E-2</v>
      </c>
      <c r="M46" s="39">
        <f t="shared" si="52"/>
        <v>5.6219844766100271E-2</v>
      </c>
      <c r="N46" s="39">
        <f t="shared" si="47"/>
        <v>5.5904522613065326E-2</v>
      </c>
      <c r="O46" s="39">
        <f t="shared" si="47"/>
        <v>5.362776025236593E-2</v>
      </c>
      <c r="P46" s="39">
        <f t="shared" si="47"/>
        <v>5.7825407457021659E-2</v>
      </c>
      <c r="Q46" s="39">
        <f t="shared" si="47"/>
        <v>6.0798548094373864E-2</v>
      </c>
      <c r="R46" s="39">
        <f t="shared" si="47"/>
        <v>5.9399332591768633E-2</v>
      </c>
      <c r="S46" s="39">
        <f t="shared" si="47"/>
        <v>5.4159802306425038E-2</v>
      </c>
      <c r="T46" s="39">
        <f t="shared" ref="T46:U46" si="53">T13/T$10</f>
        <v>4.992012779552716E-2</v>
      </c>
      <c r="U46" s="39">
        <f t="shared" si="53"/>
        <v>4.675898053381497E-2</v>
      </c>
      <c r="V46" s="39">
        <f t="shared" ref="V46:W46" si="54">V13/V$10</f>
        <v>4.4278915787295675E-2</v>
      </c>
      <c r="W46" s="39">
        <f t="shared" si="54"/>
        <v>4.4512328169321408E-2</v>
      </c>
      <c r="X46" s="39">
        <f t="shared" ref="X46:Y46" si="55">X13/X$10</f>
        <v>4.691075514874142E-2</v>
      </c>
      <c r="Y46" s="39">
        <f t="shared" si="55"/>
        <v>4.8251748251748251E-2</v>
      </c>
      <c r="Z46" s="39">
        <f t="shared" ref="Z46:AA46" si="56">Z13/Z$10</f>
        <v>5.0551470588235295E-2</v>
      </c>
      <c r="AA46" s="39">
        <f t="shared" si="56"/>
        <v>5.2631578947368418E-2</v>
      </c>
      <c r="AB46" s="39">
        <f t="shared" ref="AB46" si="57">AB13/AB$10</f>
        <v>4.9388111888111888E-2</v>
      </c>
      <c r="AC46" s="39">
        <f t="shared" si="51"/>
        <v>4.7956989247311829E-2</v>
      </c>
      <c r="AD46" s="39">
        <f t="shared" si="51"/>
        <v>4.5631266625741761E-2</v>
      </c>
      <c r="AF46" s="674"/>
    </row>
    <row r="47" spans="1:32" s="48" customFormat="1" ht="12.75">
      <c r="A47" s="10"/>
      <c r="C47" s="2" t="s">
        <v>212</v>
      </c>
      <c r="D47" s="10"/>
      <c r="E47" s="39">
        <f t="shared" ref="E47:M47" si="58">E14/E$10</f>
        <v>8.8578622110322733E-2</v>
      </c>
      <c r="F47" s="39">
        <f t="shared" si="58"/>
        <v>8.9658335244210047E-2</v>
      </c>
      <c r="G47" s="39">
        <f t="shared" si="58"/>
        <v>8.1327412946950228E-2</v>
      </c>
      <c r="H47" s="39">
        <f t="shared" si="58"/>
        <v>8.1415544941380813E-2</v>
      </c>
      <c r="I47" s="39">
        <f t="shared" si="58"/>
        <v>7.4972436604189632E-2</v>
      </c>
      <c r="J47" s="39">
        <f t="shared" si="58"/>
        <v>7.5813851868035825E-2</v>
      </c>
      <c r="K47" s="39">
        <f t="shared" si="58"/>
        <v>7.6006296379581742E-2</v>
      </c>
      <c r="L47" s="39">
        <f t="shared" si="58"/>
        <v>6.560592850915431E-2</v>
      </c>
      <c r="M47" s="39">
        <f t="shared" si="58"/>
        <v>6.2303335431088736E-2</v>
      </c>
      <c r="N47" s="39">
        <f t="shared" si="47"/>
        <v>5.443886097152429E-2</v>
      </c>
      <c r="O47" s="39">
        <f t="shared" si="47"/>
        <v>4.5846477392218719E-2</v>
      </c>
      <c r="P47" s="39">
        <f t="shared" si="47"/>
        <v>4.1750390712212544E-2</v>
      </c>
      <c r="Q47" s="39">
        <f t="shared" si="47"/>
        <v>4.4691470054446458E-2</v>
      </c>
      <c r="R47" s="39">
        <f t="shared" si="47"/>
        <v>4.2714126807563958E-2</v>
      </c>
      <c r="S47" s="39">
        <f t="shared" si="47"/>
        <v>3.9950576606260293E-2</v>
      </c>
      <c r="T47" s="39">
        <f t="shared" ref="T47:U47" si="59">T14/T$10</f>
        <v>4.472843450479233E-2</v>
      </c>
      <c r="U47" s="39">
        <f t="shared" si="59"/>
        <v>4.1139875576961672E-2</v>
      </c>
      <c r="V47" s="39">
        <f t="shared" ref="V47:W47" si="60">V14/V$10</f>
        <v>4.1795985930064145E-2</v>
      </c>
      <c r="W47" s="39">
        <f t="shared" si="60"/>
        <v>4.0802967488544624E-2</v>
      </c>
      <c r="X47" s="39">
        <f t="shared" ref="X47:Y47" si="61">X14/X$10</f>
        <v>4.1876430205949659E-2</v>
      </c>
      <c r="Y47" s="39">
        <f t="shared" si="61"/>
        <v>4.4522144522144522E-2</v>
      </c>
      <c r="Z47" s="39">
        <f t="shared" ref="Z47:AA47" si="62">Z14/Z$10</f>
        <v>4.8023897058823532E-2</v>
      </c>
      <c r="AA47" s="39">
        <f t="shared" si="62"/>
        <v>5.8983666061705992E-2</v>
      </c>
      <c r="AB47" s="39">
        <f t="shared" ref="AB47" si="63">AB14/AB$10</f>
        <v>7.6923076923076927E-2</v>
      </c>
      <c r="AC47" s="39">
        <f t="shared" si="51"/>
        <v>8.4086021505376349E-2</v>
      </c>
      <c r="AD47" s="39">
        <f t="shared" si="51"/>
        <v>8.9625537139349287E-2</v>
      </c>
      <c r="AF47" s="674"/>
    </row>
    <row r="48" spans="1:32" s="48" customFormat="1" ht="12.75">
      <c r="A48" s="10"/>
      <c r="C48" s="2" t="s">
        <v>213</v>
      </c>
      <c r="D48" s="10"/>
      <c r="E48" s="39">
        <f t="shared" ref="E48:M48" si="64">E15/E$10</f>
        <v>7.5074387731746392E-2</v>
      </c>
      <c r="F48" s="39">
        <f t="shared" si="64"/>
        <v>7.7275854161889479E-2</v>
      </c>
      <c r="G48" s="39">
        <f t="shared" si="64"/>
        <v>7.3615330684739425E-2</v>
      </c>
      <c r="H48" s="39">
        <f t="shared" si="64"/>
        <v>6.3829787234042548E-2</v>
      </c>
      <c r="I48" s="39">
        <f t="shared" si="64"/>
        <v>5.9316427783902975E-2</v>
      </c>
      <c r="J48" s="39">
        <f t="shared" si="64"/>
        <v>5.6150316801398294E-2</v>
      </c>
      <c r="K48" s="39">
        <f t="shared" si="64"/>
        <v>4.4299527771531372E-2</v>
      </c>
      <c r="L48" s="39">
        <f t="shared" si="64"/>
        <v>3.9886660854402789E-2</v>
      </c>
      <c r="M48" s="39">
        <f t="shared" si="64"/>
        <v>3.7340046150618839E-2</v>
      </c>
      <c r="N48" s="39">
        <f t="shared" si="47"/>
        <v>3.3710217755443889E-2</v>
      </c>
      <c r="O48" s="39">
        <f t="shared" si="47"/>
        <v>3.4700315457413249E-2</v>
      </c>
      <c r="P48" s="39">
        <f t="shared" si="47"/>
        <v>3.1926769368162536E-2</v>
      </c>
      <c r="Q48" s="39">
        <f t="shared" si="47"/>
        <v>3.1533575317604354E-2</v>
      </c>
      <c r="R48" s="39">
        <f t="shared" si="47"/>
        <v>2.9588431590656286E-2</v>
      </c>
      <c r="S48" s="39">
        <f t="shared" si="47"/>
        <v>1.8327841845140032E-2</v>
      </c>
      <c r="T48" s="39">
        <f t="shared" ref="T48:U48" si="65">T15/T$10</f>
        <v>2.3961661341853034E-2</v>
      </c>
      <c r="U48" s="39">
        <f t="shared" si="65"/>
        <v>2.2877784467188442E-2</v>
      </c>
      <c r="V48" s="39">
        <f t="shared" ref="V48:W48" si="66">V15/V$10</f>
        <v>2.2553279536519762E-2</v>
      </c>
      <c r="W48" s="39">
        <f t="shared" si="66"/>
        <v>1.8983198778092951E-2</v>
      </c>
      <c r="X48" s="39">
        <f t="shared" ref="X48:Y48" si="67">X15/X$10</f>
        <v>1.1899313501144164E-2</v>
      </c>
      <c r="Y48" s="39">
        <f t="shared" si="67"/>
        <v>1.1421911421911422E-2</v>
      </c>
      <c r="Z48" s="39">
        <f t="shared" ref="Z48:AA48" si="68">Z15/Z$10</f>
        <v>1.171875E-2</v>
      </c>
      <c r="AA48" s="39">
        <f t="shared" si="68"/>
        <v>7.7132486388384758E-3</v>
      </c>
      <c r="AB48" s="39">
        <f t="shared" ref="AB48" si="69">AB15/AB$10</f>
        <v>7.6486013986013989E-3</v>
      </c>
      <c r="AC48" s="39">
        <f t="shared" si="51"/>
        <v>5.8064516129032262E-3</v>
      </c>
      <c r="AD48" s="39">
        <f t="shared" si="51"/>
        <v>5.1156128504194799E-3</v>
      </c>
      <c r="AF48" s="674"/>
    </row>
    <row r="49" spans="1:32" ht="12.75">
      <c r="A49" s="10"/>
      <c r="B49" s="10"/>
      <c r="C49" s="6" t="s">
        <v>47</v>
      </c>
      <c r="D49" s="10"/>
      <c r="E49" s="39">
        <f t="shared" ref="E49:M49" si="70">E16/E$10</f>
        <v>0.14557106889448387</v>
      </c>
      <c r="F49" s="39">
        <f t="shared" si="70"/>
        <v>0.12795230451731254</v>
      </c>
      <c r="G49" s="39">
        <f t="shared" si="70"/>
        <v>0.14652956298200515</v>
      </c>
      <c r="H49" s="39">
        <f t="shared" si="70"/>
        <v>0.1398176291793313</v>
      </c>
      <c r="I49" s="39">
        <f t="shared" si="70"/>
        <v>0.13627342888643881</v>
      </c>
      <c r="J49" s="39">
        <f t="shared" si="70"/>
        <v>0.1334935547301726</v>
      </c>
      <c r="K49" s="39">
        <f t="shared" si="70"/>
        <v>0.14076905779176974</v>
      </c>
      <c r="L49" s="39">
        <f t="shared" si="70"/>
        <v>0.13535309503051438</v>
      </c>
      <c r="M49" s="39">
        <f t="shared" si="70"/>
        <v>0.13362701908957417</v>
      </c>
      <c r="N49" s="39">
        <f t="shared" si="47"/>
        <v>0.13630653266331658</v>
      </c>
      <c r="O49" s="39">
        <f t="shared" si="47"/>
        <v>0.13228180862250263</v>
      </c>
      <c r="P49" s="39">
        <f t="shared" si="47"/>
        <v>0.13507479348068765</v>
      </c>
      <c r="Q49" s="39">
        <f t="shared" si="47"/>
        <v>0.14450998185117966</v>
      </c>
      <c r="R49" s="39">
        <f t="shared" si="47"/>
        <v>0.14082313681868744</v>
      </c>
      <c r="S49" s="39">
        <f t="shared" si="47"/>
        <v>0.1243822075782537</v>
      </c>
      <c r="T49" s="39">
        <f t="shared" ref="T49:U49" si="71">T16/T$10</f>
        <v>0.12320287539936102</v>
      </c>
      <c r="U49" s="39">
        <f t="shared" si="71"/>
        <v>0.11940598033313266</v>
      </c>
      <c r="V49" s="39">
        <f t="shared" ref="V49:W49" si="72">V16/V$10</f>
        <v>0.12621560107593627</v>
      </c>
      <c r="W49" s="39">
        <f t="shared" si="72"/>
        <v>0.12742744926903773</v>
      </c>
      <c r="X49" s="39">
        <f t="shared" ref="X49:Y49" si="73">X16/X$10</f>
        <v>0.1379862700228833</v>
      </c>
      <c r="Y49" s="39">
        <f t="shared" si="73"/>
        <v>0.137995337995338</v>
      </c>
      <c r="Z49" s="39">
        <f t="shared" ref="Z49:AA49" si="74">Z16/Z$10</f>
        <v>0.13396139705882354</v>
      </c>
      <c r="AA49" s="39">
        <f t="shared" si="74"/>
        <v>0.12953720508166969</v>
      </c>
      <c r="AB49" s="39">
        <f t="shared" ref="AB49" si="75">AB16/AB$10</f>
        <v>0.125</v>
      </c>
      <c r="AC49" s="39">
        <f t="shared" si="51"/>
        <v>0.13096774193548388</v>
      </c>
      <c r="AD49" s="39">
        <f t="shared" si="51"/>
        <v>0.13034581542868837</v>
      </c>
      <c r="AF49" s="674"/>
    </row>
    <row r="50" spans="1:32" ht="12.75">
      <c r="A50" s="10"/>
      <c r="B50" s="10"/>
      <c r="C50" s="6" t="s">
        <v>48</v>
      </c>
      <c r="D50" s="10"/>
      <c r="E50" s="39">
        <f t="shared" ref="E50:M50" si="76">E17/E$10</f>
        <v>0.13435568780041199</v>
      </c>
      <c r="F50" s="39">
        <f t="shared" si="76"/>
        <v>0.13139188259573492</v>
      </c>
      <c r="G50" s="39">
        <f t="shared" si="76"/>
        <v>0.12713250759523254</v>
      </c>
      <c r="H50" s="39">
        <f t="shared" si="76"/>
        <v>0.11224489795918367</v>
      </c>
      <c r="I50" s="39">
        <f t="shared" si="76"/>
        <v>0.1155457552370452</v>
      </c>
      <c r="J50" s="39">
        <f t="shared" si="76"/>
        <v>0.11055276381909548</v>
      </c>
      <c r="K50" s="39">
        <f t="shared" si="76"/>
        <v>0.11603328086350348</v>
      </c>
      <c r="L50" s="39">
        <f t="shared" si="76"/>
        <v>0.11333914559721012</v>
      </c>
      <c r="M50" s="39">
        <f t="shared" si="76"/>
        <v>0.10174113698342774</v>
      </c>
      <c r="N50" s="39">
        <f t="shared" si="47"/>
        <v>0.1025963149078727</v>
      </c>
      <c r="O50" s="39">
        <f t="shared" si="47"/>
        <v>0.11461619348054679</v>
      </c>
      <c r="P50" s="39">
        <f t="shared" si="47"/>
        <v>0.12614422862246036</v>
      </c>
      <c r="Q50" s="39">
        <f t="shared" si="47"/>
        <v>0.13861161524500906</v>
      </c>
      <c r="R50" s="39">
        <f t="shared" si="47"/>
        <v>0.13948832035595105</v>
      </c>
      <c r="S50" s="39">
        <f t="shared" si="47"/>
        <v>0.11902800658978584</v>
      </c>
      <c r="T50" s="39">
        <f t="shared" ref="T50:U50" si="77">T17/T$10</f>
        <v>0.12100638977635783</v>
      </c>
      <c r="U50" s="39">
        <f t="shared" si="77"/>
        <v>0.1175998394541441</v>
      </c>
      <c r="V50" s="39">
        <f t="shared" ref="V50:W50" si="78">V17/V$10</f>
        <v>0.1239395820401407</v>
      </c>
      <c r="W50" s="39">
        <f t="shared" si="78"/>
        <v>0.1322277983853371</v>
      </c>
      <c r="X50" s="39">
        <f t="shared" ref="X50:Y50" si="79">X17/X$10</f>
        <v>0.1379862700228833</v>
      </c>
      <c r="Y50" s="39">
        <f t="shared" si="79"/>
        <v>0.14638694638694638</v>
      </c>
      <c r="Z50" s="39">
        <f t="shared" ref="Z50:AA50" si="80">Z17/Z$10</f>
        <v>0.16199448529411764</v>
      </c>
      <c r="AA50" s="39">
        <f t="shared" si="80"/>
        <v>0.16152450090744103</v>
      </c>
      <c r="AB50" s="39">
        <f t="shared" ref="AB50" si="81">AB17/AB$10</f>
        <v>0.15319055944055945</v>
      </c>
      <c r="AC50" s="39">
        <f t="shared" si="51"/>
        <v>0.1556989247311828</v>
      </c>
      <c r="AD50" s="39">
        <f t="shared" si="51"/>
        <v>0.1416001636996112</v>
      </c>
      <c r="AF50" s="674"/>
    </row>
    <row r="51" spans="1:32" ht="12.75">
      <c r="A51" s="10"/>
      <c r="B51" s="10"/>
      <c r="C51" s="6" t="s">
        <v>49</v>
      </c>
      <c r="D51" s="10"/>
      <c r="E51" s="39">
        <f t="shared" ref="E51:M51" si="82">E18/E$10</f>
        <v>8.9951934081025406E-2</v>
      </c>
      <c r="F51" s="39">
        <f t="shared" si="82"/>
        <v>9.2868608117404258E-2</v>
      </c>
      <c r="G51" s="39">
        <f t="shared" si="82"/>
        <v>9.2311287684038332E-2</v>
      </c>
      <c r="H51" s="39">
        <f t="shared" si="82"/>
        <v>7.8593139383412947E-2</v>
      </c>
      <c r="I51" s="39">
        <f t="shared" si="82"/>
        <v>7.6074972436604188E-2</v>
      </c>
      <c r="J51" s="39">
        <f t="shared" si="82"/>
        <v>7.6906270482849023E-2</v>
      </c>
      <c r="K51" s="39">
        <f t="shared" si="82"/>
        <v>8.4326512255453109E-2</v>
      </c>
      <c r="L51" s="39">
        <f t="shared" si="82"/>
        <v>8.979947689625109E-2</v>
      </c>
      <c r="M51" s="39">
        <f t="shared" si="82"/>
        <v>9.7335850639815397E-2</v>
      </c>
      <c r="N51" s="39">
        <f t="shared" si="47"/>
        <v>9.526800670016751E-2</v>
      </c>
      <c r="O51" s="39">
        <f t="shared" si="47"/>
        <v>9.5899053627760258E-2</v>
      </c>
      <c r="P51" s="39">
        <f t="shared" si="47"/>
        <v>0.10158517526233535</v>
      </c>
      <c r="Q51" s="39">
        <f t="shared" si="47"/>
        <v>0.11751361161524501</v>
      </c>
      <c r="R51" s="39">
        <f t="shared" si="47"/>
        <v>0.11902113459399333</v>
      </c>
      <c r="S51" s="39">
        <f t="shared" si="47"/>
        <v>0.11552718286655683</v>
      </c>
      <c r="T51" s="39">
        <f t="shared" ref="T51:U51" si="83">T18/T$10</f>
        <v>0.10942492012779553</v>
      </c>
      <c r="U51" s="39">
        <f t="shared" si="83"/>
        <v>9.1109773228978522E-2</v>
      </c>
      <c r="V51" s="39">
        <f t="shared" ref="V51:W51" si="84">V18/V$10</f>
        <v>0.10242085661080075</v>
      </c>
      <c r="W51" s="39">
        <f t="shared" si="84"/>
        <v>0.10691686668121318</v>
      </c>
      <c r="X51" s="39">
        <f t="shared" ref="X51:Y51" si="85">X18/X$10</f>
        <v>0.11350114416475973</v>
      </c>
      <c r="Y51" s="39">
        <f t="shared" si="85"/>
        <v>0.11818181818181818</v>
      </c>
      <c r="Z51" s="39">
        <f t="shared" ref="Z51:AA51" si="86">Z18/Z$10</f>
        <v>0.11144301470588236</v>
      </c>
      <c r="AA51" s="39">
        <f t="shared" si="86"/>
        <v>9.4600725952813061E-2</v>
      </c>
      <c r="AB51" s="39">
        <f t="shared" ref="AB51" si="87">AB18/AB$10</f>
        <v>8.9160839160839167E-2</v>
      </c>
      <c r="AC51" s="39">
        <f t="shared" si="51"/>
        <v>8.666666666666667E-2</v>
      </c>
      <c r="AD51" s="39">
        <f t="shared" si="51"/>
        <v>7.6120319214241866E-2</v>
      </c>
      <c r="AF51" s="674"/>
    </row>
    <row r="52" spans="1:32" ht="12.75">
      <c r="A52" s="10"/>
      <c r="B52" s="10"/>
      <c r="C52" s="6" t="s">
        <v>50</v>
      </c>
      <c r="D52" s="10"/>
      <c r="E52" s="42">
        <f t="shared" ref="E52:M52" si="88">E19/E$10</f>
        <v>2.8152895399404899E-2</v>
      </c>
      <c r="F52" s="42">
        <f t="shared" si="88"/>
        <v>1.3987617518917679E-2</v>
      </c>
      <c r="G52" s="42">
        <f t="shared" si="88"/>
        <v>5.3750876372984343E-3</v>
      </c>
      <c r="H52" s="42">
        <f t="shared" si="88"/>
        <v>1.7368649587494573E-3</v>
      </c>
      <c r="I52" s="42">
        <f t="shared" si="88"/>
        <v>-1.5435501653803748E-3</v>
      </c>
      <c r="J52" s="42">
        <f t="shared" si="88"/>
        <v>-1.3109023377758358E-3</v>
      </c>
      <c r="K52" s="42">
        <f t="shared" si="88"/>
        <v>0</v>
      </c>
      <c r="L52" s="42">
        <f t="shared" si="88"/>
        <v>4.141238012205754E-3</v>
      </c>
      <c r="M52" s="42">
        <f t="shared" si="88"/>
        <v>4.6150618837843506E-3</v>
      </c>
      <c r="N52" s="42">
        <f t="shared" si="47"/>
        <v>5.2345058626465666E-3</v>
      </c>
      <c r="O52" s="42">
        <f t="shared" si="47"/>
        <v>5.2576235541535229E-3</v>
      </c>
      <c r="P52" s="42">
        <f t="shared" si="47"/>
        <v>1.5628488501897744E-3</v>
      </c>
      <c r="Q52" s="42">
        <f t="shared" si="47"/>
        <v>9.0744101633393826E-4</v>
      </c>
      <c r="R52" s="42">
        <f t="shared" si="47"/>
        <v>2.224694104560623E-4</v>
      </c>
      <c r="S52" s="42">
        <f t="shared" si="47"/>
        <v>0</v>
      </c>
      <c r="T52" s="42">
        <f t="shared" ref="T52:U52" si="89">T19/T$10</f>
        <v>0</v>
      </c>
      <c r="U52" s="42">
        <f t="shared" si="89"/>
        <v>0</v>
      </c>
      <c r="V52" s="42">
        <f t="shared" ref="V52:W52" si="90">V19/V$10</f>
        <v>0</v>
      </c>
      <c r="W52" s="42">
        <f t="shared" si="90"/>
        <v>0</v>
      </c>
      <c r="X52" s="42">
        <f t="shared" ref="X52:Y52" si="91">X19/X$10</f>
        <v>0</v>
      </c>
      <c r="Y52" s="42">
        <f t="shared" si="91"/>
        <v>0</v>
      </c>
      <c r="Z52" s="42">
        <f t="shared" ref="Z52:AA52" si="92">Z19/Z$10</f>
        <v>0</v>
      </c>
      <c r="AA52" s="42">
        <f t="shared" si="92"/>
        <v>0</v>
      </c>
      <c r="AB52" s="42">
        <f t="shared" ref="AB52" si="93">AB19/AB$10</f>
        <v>0</v>
      </c>
      <c r="AC52" s="42">
        <f t="shared" si="51"/>
        <v>0</v>
      </c>
      <c r="AD52" s="42">
        <f t="shared" si="51"/>
        <v>0</v>
      </c>
      <c r="AF52" s="674"/>
    </row>
    <row r="53" spans="1:32">
      <c r="A53" s="10"/>
      <c r="B53" s="10"/>
      <c r="C53" s="6" t="s">
        <v>51</v>
      </c>
      <c r="D53" s="10"/>
      <c r="E53" s="40">
        <f t="shared" ref="E53:M53" si="94">E20/E$10</f>
        <v>0</v>
      </c>
      <c r="F53" s="40">
        <f t="shared" si="94"/>
        <v>0</v>
      </c>
      <c r="G53" s="40">
        <f t="shared" si="94"/>
        <v>9.5583080158915631E-2</v>
      </c>
      <c r="H53" s="40">
        <f t="shared" si="94"/>
        <v>8.8797221016066005E-2</v>
      </c>
      <c r="I53" s="40">
        <f t="shared" si="94"/>
        <v>9.0187431091510478E-2</v>
      </c>
      <c r="J53" s="40">
        <f t="shared" si="94"/>
        <v>8.9359842691719468E-2</v>
      </c>
      <c r="K53" s="40">
        <f t="shared" si="94"/>
        <v>7.3307847987407235E-2</v>
      </c>
      <c r="L53" s="40">
        <f t="shared" si="94"/>
        <v>7.1054925893635573E-2</v>
      </c>
      <c r="M53" s="40">
        <f t="shared" si="94"/>
        <v>6.83868260960772E-2</v>
      </c>
      <c r="N53" s="40">
        <f t="shared" si="47"/>
        <v>6.8257956448911222E-2</v>
      </c>
      <c r="O53" s="40">
        <f t="shared" si="47"/>
        <v>0</v>
      </c>
      <c r="P53" s="40">
        <f t="shared" si="47"/>
        <v>0</v>
      </c>
      <c r="Q53" s="40">
        <f t="shared" si="47"/>
        <v>0</v>
      </c>
      <c r="R53" s="40">
        <f t="shared" si="47"/>
        <v>0</v>
      </c>
      <c r="S53" s="40">
        <f t="shared" si="47"/>
        <v>0</v>
      </c>
      <c r="T53" s="40">
        <f t="shared" ref="T53:U53" si="95">T20/T$10</f>
        <v>0</v>
      </c>
      <c r="U53" s="40">
        <f t="shared" si="95"/>
        <v>0</v>
      </c>
      <c r="V53" s="40">
        <f t="shared" ref="V53:W53" si="96">V20/V$10</f>
        <v>0</v>
      </c>
      <c r="W53" s="40">
        <f t="shared" si="96"/>
        <v>0</v>
      </c>
      <c r="X53" s="40">
        <f t="shared" ref="X53:Y53" si="97">X20/X$10</f>
        <v>0</v>
      </c>
      <c r="Y53" s="40">
        <f t="shared" si="97"/>
        <v>0</v>
      </c>
      <c r="Z53" s="40">
        <f t="shared" ref="Z53:AA53" si="98">Z20/Z$10</f>
        <v>0</v>
      </c>
      <c r="AA53" s="40">
        <f t="shared" si="98"/>
        <v>0</v>
      </c>
      <c r="AB53" s="40">
        <f t="shared" ref="AB53" si="99">AB20/AB$10</f>
        <v>0</v>
      </c>
      <c r="AC53" s="40">
        <f t="shared" si="51"/>
        <v>0</v>
      </c>
      <c r="AD53" s="40">
        <f t="shared" si="51"/>
        <v>0</v>
      </c>
      <c r="AF53" s="674"/>
    </row>
    <row r="54" spans="1:32">
      <c r="A54" s="10"/>
      <c r="B54" s="10"/>
      <c r="C54" s="10"/>
      <c r="D54" s="10" t="s">
        <v>202</v>
      </c>
      <c r="E54" s="40">
        <f t="shared" ref="E54:M54" si="100">E21/E$10</f>
        <v>0.9874113069352255</v>
      </c>
      <c r="F54" s="40">
        <f t="shared" si="100"/>
        <v>0.94083925705113503</v>
      </c>
      <c r="G54" s="40">
        <f t="shared" si="100"/>
        <v>1.0060761860247722</v>
      </c>
      <c r="H54" s="40">
        <f t="shared" si="100"/>
        <v>0.93356491532783326</v>
      </c>
      <c r="I54" s="40">
        <f t="shared" si="100"/>
        <v>0.91444321940463069</v>
      </c>
      <c r="J54" s="40">
        <f t="shared" si="100"/>
        <v>0.90517806423421454</v>
      </c>
      <c r="K54" s="40">
        <f t="shared" si="100"/>
        <v>0.89453564200584668</v>
      </c>
      <c r="L54" s="40">
        <f t="shared" si="100"/>
        <v>0.8622493461203139</v>
      </c>
      <c r="M54" s="40">
        <f t="shared" si="100"/>
        <v>0.83238934340255921</v>
      </c>
      <c r="N54" s="40">
        <f t="shared" si="47"/>
        <v>0.81030150753768848</v>
      </c>
      <c r="O54" s="40">
        <f t="shared" si="47"/>
        <v>0.72071503680336491</v>
      </c>
      <c r="P54" s="40">
        <f t="shared" si="47"/>
        <v>0.73945077026121897</v>
      </c>
      <c r="Q54" s="40">
        <f t="shared" si="47"/>
        <v>0.7897005444646098</v>
      </c>
      <c r="R54" s="40">
        <f t="shared" si="47"/>
        <v>0.77931034482758621</v>
      </c>
      <c r="S54" s="40">
        <f t="shared" si="47"/>
        <v>0.70119439868204281</v>
      </c>
      <c r="T54" s="40">
        <f t="shared" ref="T54:U54" si="101">T21/T$10</f>
        <v>0.69548722044728439</v>
      </c>
      <c r="U54" s="40">
        <f t="shared" si="101"/>
        <v>0.65322095123419621</v>
      </c>
      <c r="V54" s="40">
        <f t="shared" ref="V54:W54" si="102">V21/V$10</f>
        <v>0.67494309952410514</v>
      </c>
      <c r="W54" s="40">
        <f t="shared" si="102"/>
        <v>0.70063277329260309</v>
      </c>
      <c r="X54" s="40">
        <f t="shared" ref="X54:Y54" si="103">X21/X$10</f>
        <v>0.722883295194508</v>
      </c>
      <c r="Y54" s="40">
        <f t="shared" si="103"/>
        <v>0.74568764568764567</v>
      </c>
      <c r="Z54" s="40">
        <f t="shared" ref="Z54:AA54" si="104">Z21/Z$10</f>
        <v>0.76355698529411764</v>
      </c>
      <c r="AA54" s="40">
        <f t="shared" si="104"/>
        <v>0.73162431941923778</v>
      </c>
      <c r="AB54" s="40">
        <f t="shared" ref="AB54" si="105">AB21/AB$10</f>
        <v>0.71634615384615385</v>
      </c>
      <c r="AC54" s="40">
        <f t="shared" si="51"/>
        <v>0.71612903225806457</v>
      </c>
      <c r="AD54" s="40">
        <f t="shared" si="51"/>
        <v>0.691426232862697</v>
      </c>
      <c r="AF54" s="674"/>
    </row>
    <row r="55" spans="1:32" ht="12.75">
      <c r="A55" s="11"/>
      <c r="B55" s="25" t="s">
        <v>1</v>
      </c>
      <c r="C55" s="3"/>
      <c r="D55" s="11"/>
      <c r="E55" s="38">
        <f t="shared" ref="E55:M55" si="106">E22/E$10</f>
        <v>1.2588693064774548E-2</v>
      </c>
      <c r="F55" s="38">
        <f t="shared" si="106"/>
        <v>5.916074294886494E-2</v>
      </c>
      <c r="G55" s="38">
        <f t="shared" si="106"/>
        <v>-6.0761860247721435E-3</v>
      </c>
      <c r="H55" s="38">
        <f t="shared" si="106"/>
        <v>6.6435084672166744E-2</v>
      </c>
      <c r="I55" s="38">
        <f t="shared" si="106"/>
        <v>8.555678059536935E-2</v>
      </c>
      <c r="J55" s="38">
        <f t="shared" si="106"/>
        <v>9.4821935765785445E-2</v>
      </c>
      <c r="K55" s="38">
        <f t="shared" si="106"/>
        <v>0.10546435799415337</v>
      </c>
      <c r="L55" s="38">
        <f t="shared" si="106"/>
        <v>0.13775065387968613</v>
      </c>
      <c r="M55" s="38">
        <f t="shared" si="106"/>
        <v>0.16761065659744073</v>
      </c>
      <c r="N55" s="38">
        <f t="shared" si="47"/>
        <v>0.18969849246231155</v>
      </c>
      <c r="O55" s="38">
        <f t="shared" si="47"/>
        <v>0.27928496319663509</v>
      </c>
      <c r="P55" s="38">
        <f t="shared" si="47"/>
        <v>0.26054922973878097</v>
      </c>
      <c r="Q55" s="38">
        <f t="shared" si="47"/>
        <v>0.2102994555353902</v>
      </c>
      <c r="R55" s="38">
        <f t="shared" si="47"/>
        <v>0.22068965517241379</v>
      </c>
      <c r="S55" s="38">
        <f t="shared" si="47"/>
        <v>0.29880560131795719</v>
      </c>
      <c r="T55" s="38">
        <f t="shared" ref="T55:U55" si="107">T22/T$10</f>
        <v>0.30451277955271566</v>
      </c>
      <c r="U55" s="38">
        <f t="shared" si="107"/>
        <v>0.34677904876580373</v>
      </c>
      <c r="V55" s="38">
        <f t="shared" ref="V55:W55" si="108">V22/V$10</f>
        <v>0.32505690047589492</v>
      </c>
      <c r="W55" s="38">
        <f t="shared" si="108"/>
        <v>0.29936722670739691</v>
      </c>
      <c r="X55" s="38">
        <f t="shared" ref="X55:Y55" si="109">X22/X$10</f>
        <v>0.277116704805492</v>
      </c>
      <c r="Y55" s="38">
        <f t="shared" si="109"/>
        <v>0.25431235431235433</v>
      </c>
      <c r="Z55" s="38">
        <f t="shared" ref="Z55:AA55" si="110">Z22/Z$10</f>
        <v>0.23644301470588236</v>
      </c>
      <c r="AA55" s="38">
        <f t="shared" si="110"/>
        <v>0.26837568058076228</v>
      </c>
      <c r="AB55" s="38">
        <f t="shared" ref="AB55" si="111">AB22/AB$10</f>
        <v>0.28365384615384615</v>
      </c>
      <c r="AC55" s="38">
        <f t="shared" si="51"/>
        <v>0.28387096774193549</v>
      </c>
      <c r="AD55" s="38">
        <f t="shared" si="51"/>
        <v>0.30857376713730306</v>
      </c>
      <c r="AF55" s="674"/>
    </row>
    <row r="56" spans="1:32">
      <c r="A56" s="12"/>
      <c r="B56" s="663" t="s">
        <v>334</v>
      </c>
      <c r="C56" s="12"/>
      <c r="D56" s="12"/>
      <c r="E56" s="40">
        <f t="shared" ref="E56:M56" si="112">E23/E$10</f>
        <v>-1.1902037079423208E-2</v>
      </c>
      <c r="F56" s="40">
        <f t="shared" si="112"/>
        <v>-8.9429030038981876E-3</v>
      </c>
      <c r="G56" s="40">
        <f t="shared" si="112"/>
        <v>-4.2065903248422526E-3</v>
      </c>
      <c r="H56" s="40">
        <f t="shared" si="112"/>
        <v>-1.7368649587494573E-3</v>
      </c>
      <c r="I56" s="40">
        <f t="shared" si="112"/>
        <v>-1.9845644983461962E-3</v>
      </c>
      <c r="J56" s="40">
        <f t="shared" si="112"/>
        <v>-2.6218046755516716E-3</v>
      </c>
      <c r="K56" s="40">
        <f t="shared" si="112"/>
        <v>-5.1720260850011248E-3</v>
      </c>
      <c r="L56" s="40">
        <f t="shared" si="112"/>
        <v>-5.4489973844812556E-3</v>
      </c>
      <c r="M56" s="40">
        <f t="shared" si="112"/>
        <v>-5.4541640444724145E-3</v>
      </c>
      <c r="N56" s="40">
        <f t="shared" si="47"/>
        <v>-3.1407035175879399E-3</v>
      </c>
      <c r="O56" s="40">
        <f t="shared" si="47"/>
        <v>-6.3091482649842276E-4</v>
      </c>
      <c r="P56" s="40">
        <f t="shared" si="47"/>
        <v>-2.2326412145568208E-4</v>
      </c>
      <c r="Q56" s="40">
        <f t="shared" si="47"/>
        <v>-2.2686025408348456E-4</v>
      </c>
      <c r="R56" s="40">
        <f t="shared" si="47"/>
        <v>2.224694104560623E-4</v>
      </c>
      <c r="S56" s="40">
        <f t="shared" si="47"/>
        <v>-1.441515650741351E-3</v>
      </c>
      <c r="T56" s="40">
        <f t="shared" ref="T56:U56" si="113">T23/T$10</f>
        <v>-1.5974440894568689E-3</v>
      </c>
      <c r="U56" s="40">
        <f t="shared" si="113"/>
        <v>-1.2040939193257074E-3</v>
      </c>
      <c r="V56" s="40">
        <f t="shared" ref="V56:W56" si="114">V23/V$10</f>
        <v>-2.0691082143596109E-4</v>
      </c>
      <c r="W56" s="40">
        <f t="shared" si="114"/>
        <v>1.1564477416539385E-2</v>
      </c>
      <c r="X56" s="40">
        <f t="shared" ref="X56:Y56" si="115">X23/X$10</f>
        <v>2.4256292906178489E-2</v>
      </c>
      <c r="Y56" s="40">
        <f t="shared" si="115"/>
        <v>3.6363636363636362E-2</v>
      </c>
      <c r="Z56" s="40">
        <f t="shared" ref="Z56:AA56" si="116">Z23/Z$10</f>
        <v>4.6645220588235295E-2</v>
      </c>
      <c r="AA56" s="40">
        <f t="shared" si="116"/>
        <v>4.5825771324863887E-2</v>
      </c>
      <c r="AB56" s="40">
        <f t="shared" ref="AB56" si="117">AB23/AB$10</f>
        <v>4.3924825174825176E-2</v>
      </c>
      <c r="AC56" s="40">
        <f t="shared" si="51"/>
        <v>4.3225806451612905E-2</v>
      </c>
      <c r="AD56" s="40">
        <f t="shared" si="51"/>
        <v>4.112952731737262E-2</v>
      </c>
      <c r="AF56" s="674"/>
    </row>
    <row r="57" spans="1:32" ht="12.75">
      <c r="A57" s="12"/>
      <c r="B57" s="22" t="s">
        <v>325</v>
      </c>
      <c r="C57" s="4"/>
      <c r="D57" s="12"/>
      <c r="E57" s="39">
        <f t="shared" ref="E57:M57" si="118">E24/E$10</f>
        <v>2.4490730144197757E-2</v>
      </c>
      <c r="F57" s="39">
        <f t="shared" si="118"/>
        <v>6.8103645952763123E-2</v>
      </c>
      <c r="G57" s="39">
        <f t="shared" si="118"/>
        <v>-1.8695956999298902E-3</v>
      </c>
      <c r="H57" s="39">
        <f t="shared" si="118"/>
        <v>6.817194963091619E-2</v>
      </c>
      <c r="I57" s="39">
        <f t="shared" si="118"/>
        <v>8.7541345093715542E-2</v>
      </c>
      <c r="J57" s="39">
        <f t="shared" si="118"/>
        <v>9.7443740441337121E-2</v>
      </c>
      <c r="K57" s="39">
        <f t="shared" si="118"/>
        <v>0.11063638407915449</v>
      </c>
      <c r="L57" s="39">
        <f t="shared" si="118"/>
        <v>0.14319965126416739</v>
      </c>
      <c r="M57" s="39">
        <f t="shared" si="118"/>
        <v>0.17306482064191314</v>
      </c>
      <c r="N57" s="39">
        <f t="shared" si="47"/>
        <v>0.19283919597989949</v>
      </c>
      <c r="O57" s="39">
        <f t="shared" si="47"/>
        <v>0.27991587802313356</v>
      </c>
      <c r="P57" s="39">
        <f t="shared" si="47"/>
        <v>0.26077249386023665</v>
      </c>
      <c r="Q57" s="39">
        <f t="shared" si="47"/>
        <v>0.21052631578947367</v>
      </c>
      <c r="R57" s="39">
        <f t="shared" si="47"/>
        <v>0.22046718576195773</v>
      </c>
      <c r="S57" s="39">
        <f t="shared" si="47"/>
        <v>0.30024711696869849</v>
      </c>
      <c r="T57" s="39">
        <f t="shared" ref="T57:U57" si="119">T24/T$10</f>
        <v>0.3061102236421725</v>
      </c>
      <c r="U57" s="39">
        <f t="shared" si="119"/>
        <v>0.34798314268512942</v>
      </c>
      <c r="V57" s="39">
        <f t="shared" ref="V57:W57" si="120">V24/V$10</f>
        <v>0.32526381129733084</v>
      </c>
      <c r="W57" s="39">
        <f t="shared" si="120"/>
        <v>0.28780274929085753</v>
      </c>
      <c r="X57" s="39">
        <f t="shared" ref="X57:Y57" si="121">X24/X$10</f>
        <v>0.25286041189931352</v>
      </c>
      <c r="Y57" s="39">
        <f t="shared" si="121"/>
        <v>0.21794871794871795</v>
      </c>
      <c r="Z57" s="39">
        <f t="shared" ref="Z57:AA57" si="122">Z24/Z$10</f>
        <v>0.18979779411764705</v>
      </c>
      <c r="AA57" s="39">
        <f t="shared" si="122"/>
        <v>0.22254990925589838</v>
      </c>
      <c r="AB57" s="39">
        <f t="shared" ref="AB57" si="123">AB24/AB$10</f>
        <v>0.23972902097902099</v>
      </c>
      <c r="AC57" s="39">
        <f t="shared" si="51"/>
        <v>0.24064516129032257</v>
      </c>
      <c r="AD57" s="39">
        <f t="shared" si="51"/>
        <v>0.26744423981993043</v>
      </c>
      <c r="AF57" s="674"/>
    </row>
    <row r="58" spans="1:32">
      <c r="A58" s="12"/>
      <c r="B58" s="2" t="s">
        <v>326</v>
      </c>
      <c r="C58" s="4"/>
      <c r="D58" s="12"/>
      <c r="E58" s="40">
        <f t="shared" ref="E58:M58" si="124">E25/E$10</f>
        <v>-2.2201876859693295E-2</v>
      </c>
      <c r="F58" s="40">
        <f t="shared" si="124"/>
        <v>-6.8791561568447603E-3</v>
      </c>
      <c r="G58" s="40">
        <f t="shared" si="124"/>
        <v>-2.8277634961439587E-2</v>
      </c>
      <c r="H58" s="40">
        <f t="shared" si="124"/>
        <v>1.9539730785931393E-3</v>
      </c>
      <c r="I58" s="40">
        <f t="shared" si="124"/>
        <v>1.4994487320837926E-2</v>
      </c>
      <c r="J58" s="40">
        <f t="shared" si="124"/>
        <v>1.7697181559973782E-2</v>
      </c>
      <c r="K58" s="40">
        <f t="shared" si="124"/>
        <v>1.6640431751742749E-2</v>
      </c>
      <c r="L58" s="40">
        <f t="shared" si="124"/>
        <v>2.5501307759372274E-2</v>
      </c>
      <c r="M58" s="40">
        <f t="shared" si="124"/>
        <v>3.5452066289070695E-2</v>
      </c>
      <c r="N58" s="40">
        <f t="shared" si="47"/>
        <v>3.5175879396984924E-2</v>
      </c>
      <c r="O58" s="40">
        <f t="shared" si="47"/>
        <v>5.1735015772870666E-2</v>
      </c>
      <c r="P58" s="40">
        <f t="shared" si="47"/>
        <v>4.509935253404778E-2</v>
      </c>
      <c r="Q58" s="40">
        <f t="shared" si="47"/>
        <v>2.5408348457350273E-2</v>
      </c>
      <c r="R58" s="40">
        <f t="shared" si="47"/>
        <v>2.1579532814238044E-2</v>
      </c>
      <c r="S58" s="40">
        <f t="shared" si="47"/>
        <v>6.3632619439868199E-2</v>
      </c>
      <c r="T58" s="40">
        <f t="shared" ref="T58:U58" si="125">T25/T$10</f>
        <v>6.2300319488817889E-2</v>
      </c>
      <c r="U58" s="40">
        <f t="shared" si="125"/>
        <v>7.505518763796909E-2</v>
      </c>
      <c r="V58" s="40">
        <f t="shared" ref="V58:W58" si="126">V25/V$10</f>
        <v>7.9039933788537145E-2</v>
      </c>
      <c r="W58" s="40">
        <f t="shared" si="126"/>
        <v>6.7423085315295658E-2</v>
      </c>
      <c r="X58" s="40">
        <f t="shared" ref="X58:Y58" si="127">X25/X$10</f>
        <v>5.9038901601830666E-2</v>
      </c>
      <c r="Y58" s="40">
        <f t="shared" si="127"/>
        <v>4.8484848484848485E-2</v>
      </c>
      <c r="Z58" s="40">
        <f t="shared" ref="Z58:AA58" si="128">Z25/Z$10</f>
        <v>4.0900735294117647E-2</v>
      </c>
      <c r="AA58" s="40">
        <f t="shared" si="128"/>
        <v>3.3121597096188747E-2</v>
      </c>
      <c r="AB58" s="40">
        <f t="shared" ref="AB58" si="129">AB25/AB$10</f>
        <v>3.5183566433566432E-2</v>
      </c>
      <c r="AC58" s="40">
        <f t="shared" si="51"/>
        <v>3.7634408602150539E-2</v>
      </c>
      <c r="AD58" s="40">
        <f t="shared" si="51"/>
        <v>4.3585021485573971E-2</v>
      </c>
      <c r="AF58" s="674"/>
    </row>
    <row r="59" spans="1:32">
      <c r="A59" s="9"/>
      <c r="B59" s="25" t="s">
        <v>2</v>
      </c>
      <c r="C59" s="9"/>
      <c r="D59" s="9"/>
      <c r="E59" s="41">
        <f t="shared" ref="E59:M59" si="130">E26/E$10</f>
        <v>4.6692607003891051E-2</v>
      </c>
      <c r="F59" s="41">
        <f t="shared" si="130"/>
        <v>7.4982802109607893E-2</v>
      </c>
      <c r="G59" s="41">
        <f t="shared" si="130"/>
        <v>2.6408039261509697E-2</v>
      </c>
      <c r="H59" s="41">
        <f t="shared" si="130"/>
        <v>6.621797655232306E-2</v>
      </c>
      <c r="I59" s="41">
        <f t="shared" si="130"/>
        <v>7.2546857772877615E-2</v>
      </c>
      <c r="J59" s="41">
        <f t="shared" si="130"/>
        <v>7.9746558881363339E-2</v>
      </c>
      <c r="K59" s="41">
        <f t="shared" si="130"/>
        <v>9.3995952327411744E-2</v>
      </c>
      <c r="L59" s="41">
        <f t="shared" si="130"/>
        <v>0.11769834350479512</v>
      </c>
      <c r="M59" s="41">
        <f t="shared" si="130"/>
        <v>0.13761275435284245</v>
      </c>
      <c r="N59" s="41">
        <f t="shared" si="47"/>
        <v>0.15766331658291458</v>
      </c>
      <c r="O59" s="41">
        <f t="shared" si="47"/>
        <v>0.22818086225026288</v>
      </c>
      <c r="P59" s="41">
        <f t="shared" si="47"/>
        <v>0.21567314132618889</v>
      </c>
      <c r="Q59" s="41">
        <f t="shared" si="47"/>
        <v>0.18511796733212341</v>
      </c>
      <c r="R59" s="41">
        <f t="shared" si="47"/>
        <v>0.19888765294771968</v>
      </c>
      <c r="S59" s="41">
        <f t="shared" si="47"/>
        <v>0.23661449752883032</v>
      </c>
      <c r="T59" s="41">
        <f t="shared" ref="T59:U59" si="131">T26/T$10</f>
        <v>0.24380990415335463</v>
      </c>
      <c r="U59" s="41">
        <f t="shared" si="131"/>
        <v>0.27292795504716033</v>
      </c>
      <c r="V59" s="41">
        <f t="shared" ref="V59:W59" si="132">V26/V$10</f>
        <v>0.24622387750879371</v>
      </c>
      <c r="W59" s="41">
        <f t="shared" si="132"/>
        <v>0.22037966397556186</v>
      </c>
      <c r="X59" s="41">
        <f t="shared" ref="X59:Y59" si="133">X26/X$10</f>
        <v>0.19382151029748285</v>
      </c>
      <c r="Y59" s="41">
        <f t="shared" si="133"/>
        <v>0.16946386946386946</v>
      </c>
      <c r="Z59" s="41">
        <f t="shared" ref="Z59:AA59" si="134">Z26/Z$10</f>
        <v>0.14889705882352941</v>
      </c>
      <c r="AA59" s="41">
        <f t="shared" si="134"/>
        <v>0.18942831215970962</v>
      </c>
      <c r="AB59" s="41">
        <f t="shared" ref="AB59" si="135">AB26/AB$10</f>
        <v>0.20454545454545456</v>
      </c>
      <c r="AC59" s="41">
        <f t="shared" si="51"/>
        <v>0.20301075268817204</v>
      </c>
      <c r="AD59" s="41">
        <f t="shared" si="51"/>
        <v>0.22385921833435646</v>
      </c>
      <c r="AF59" s="674"/>
    </row>
    <row r="60" spans="1:32">
      <c r="A60" s="9"/>
      <c r="B60" s="25"/>
      <c r="C60" s="9"/>
      <c r="D60" s="9"/>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F60" s="674"/>
    </row>
    <row r="61" spans="1:32" ht="15.75">
      <c r="A61" s="27"/>
      <c r="B61" s="5" t="s">
        <v>221</v>
      </c>
      <c r="C61" s="9"/>
      <c r="D61" s="9"/>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F61" s="674"/>
    </row>
    <row r="62" spans="1:32">
      <c r="A62" s="20" t="s">
        <v>29</v>
      </c>
      <c r="B62" s="23"/>
      <c r="C62" s="24"/>
      <c r="D62" s="23"/>
      <c r="E62" s="48"/>
      <c r="AF62" s="674"/>
    </row>
    <row r="63" spans="1:32">
      <c r="A63" s="20"/>
      <c r="B63" s="23"/>
      <c r="C63" s="24"/>
      <c r="D63" s="23"/>
      <c r="E63" s="48"/>
      <c r="AF63" s="674"/>
    </row>
    <row r="64" spans="1:32" ht="14.25" customHeight="1">
      <c r="A64" s="23"/>
      <c r="B64" s="24"/>
      <c r="C64" s="24"/>
      <c r="D64" s="23"/>
      <c r="E64" s="19" t="str">
        <f t="shared" ref="E64:M64" si="136">E6</f>
        <v>Q2</v>
      </c>
      <c r="F64" s="19" t="str">
        <f t="shared" si="136"/>
        <v>Q3</v>
      </c>
      <c r="G64" s="19" t="str">
        <f t="shared" si="136"/>
        <v>Q4</v>
      </c>
      <c r="H64" s="19" t="str">
        <f t="shared" si="136"/>
        <v>Q1</v>
      </c>
      <c r="I64" s="19" t="str">
        <f t="shared" si="136"/>
        <v>Q2</v>
      </c>
      <c r="J64" s="19" t="str">
        <f t="shared" si="136"/>
        <v>Q3</v>
      </c>
      <c r="K64" s="19" t="str">
        <f t="shared" si="136"/>
        <v>Q4</v>
      </c>
      <c r="L64" s="19" t="str">
        <f t="shared" si="136"/>
        <v>Q1</v>
      </c>
      <c r="M64" s="19" t="str">
        <f t="shared" si="136"/>
        <v>Q2</v>
      </c>
      <c r="N64" s="19" t="str">
        <f t="shared" ref="N64:O64" si="137">N6</f>
        <v>Q3</v>
      </c>
      <c r="O64" s="19" t="str">
        <f t="shared" si="137"/>
        <v>Q4</v>
      </c>
      <c r="P64" s="19" t="str">
        <f t="shared" ref="P64:Q64" si="138">P6</f>
        <v>Q1</v>
      </c>
      <c r="Q64" s="19" t="str">
        <f t="shared" si="138"/>
        <v>Q2</v>
      </c>
      <c r="R64" s="19" t="str">
        <f t="shared" ref="R64:S64" si="139">R6</f>
        <v>Q3</v>
      </c>
      <c r="S64" s="19" t="str">
        <f t="shared" si="139"/>
        <v>Q4</v>
      </c>
      <c r="T64" s="19" t="str">
        <f t="shared" ref="T64:U64" si="140">T6</f>
        <v>Q1</v>
      </c>
      <c r="U64" s="19" t="str">
        <f t="shared" si="140"/>
        <v>Q2</v>
      </c>
      <c r="V64" s="19" t="str">
        <f t="shared" ref="V64:W64" si="141">V6</f>
        <v>Q3</v>
      </c>
      <c r="W64" s="19" t="str">
        <f t="shared" si="141"/>
        <v>Q4</v>
      </c>
      <c r="X64" s="19" t="str">
        <f t="shared" ref="X64:Y64" si="142">X6</f>
        <v>Q1</v>
      </c>
      <c r="Y64" s="19" t="str">
        <f t="shared" si="142"/>
        <v>Q2</v>
      </c>
      <c r="Z64" s="19" t="str">
        <f t="shared" ref="Z64:AA64" si="143">Z6</f>
        <v>Q3</v>
      </c>
      <c r="AA64" s="19" t="str">
        <f t="shared" si="143"/>
        <v>Q4</v>
      </c>
      <c r="AB64" s="19" t="str">
        <f t="shared" ref="AB64:AC64" si="144">AB6</f>
        <v>Q1</v>
      </c>
      <c r="AC64" s="19" t="str">
        <f t="shared" si="144"/>
        <v>Q2</v>
      </c>
      <c r="AD64" s="19" t="str">
        <f t="shared" ref="AD64" si="145">AD6</f>
        <v>Q3</v>
      </c>
      <c r="AF64" s="674"/>
    </row>
    <row r="65" spans="1:32" ht="14.25" customHeight="1">
      <c r="A65" s="23"/>
      <c r="B65" s="24"/>
      <c r="C65" s="24"/>
      <c r="D65" s="23"/>
      <c r="E65" s="19" t="s">
        <v>44</v>
      </c>
      <c r="F65" s="19" t="s">
        <v>44</v>
      </c>
      <c r="G65" s="19" t="s">
        <v>44</v>
      </c>
      <c r="H65" s="19" t="s">
        <v>45</v>
      </c>
      <c r="I65" s="19" t="s">
        <v>45</v>
      </c>
      <c r="J65" s="19" t="s">
        <v>45</v>
      </c>
      <c r="K65" s="19" t="s">
        <v>45</v>
      </c>
      <c r="L65" s="19" t="s">
        <v>46</v>
      </c>
      <c r="M65" s="19" t="str">
        <f>M7</f>
        <v>CY11</v>
      </c>
      <c r="N65" s="19" t="str">
        <f t="shared" ref="N65:O65" si="146">N7</f>
        <v>CY11</v>
      </c>
      <c r="O65" s="19" t="str">
        <f t="shared" si="146"/>
        <v>CY11</v>
      </c>
      <c r="P65" s="19" t="str">
        <f t="shared" ref="P65:Q65" si="147">P7</f>
        <v>CY12</v>
      </c>
      <c r="Q65" s="19" t="str">
        <f t="shared" si="147"/>
        <v>CY12</v>
      </c>
      <c r="R65" s="19" t="str">
        <f t="shared" ref="R65:S65" si="148">R7</f>
        <v>CY12</v>
      </c>
      <c r="S65" s="19" t="str">
        <f t="shared" si="148"/>
        <v>CY12</v>
      </c>
      <c r="T65" s="19" t="str">
        <f t="shared" ref="T65:U65" si="149">T7</f>
        <v>CY13</v>
      </c>
      <c r="U65" s="19" t="str">
        <f t="shared" si="149"/>
        <v>CY13</v>
      </c>
      <c r="V65" s="19" t="str">
        <f t="shared" ref="V65:W65" si="150">V7</f>
        <v>CY13</v>
      </c>
      <c r="W65" s="19" t="str">
        <f t="shared" si="150"/>
        <v>CY13</v>
      </c>
      <c r="X65" s="19" t="str">
        <f t="shared" ref="X65:Y65" si="151">X7</f>
        <v>CY14</v>
      </c>
      <c r="Y65" s="19" t="str">
        <f t="shared" si="151"/>
        <v>CY14</v>
      </c>
      <c r="Z65" s="19" t="str">
        <f t="shared" ref="Z65:AA65" si="152">Z7</f>
        <v>CY14</v>
      </c>
      <c r="AA65" s="19" t="str">
        <f t="shared" si="152"/>
        <v>CY14</v>
      </c>
      <c r="AB65" s="19" t="str">
        <f t="shared" ref="AB65:AC65" si="153">AB7</f>
        <v>CY15</v>
      </c>
      <c r="AC65" s="19" t="str">
        <f t="shared" si="153"/>
        <v>CY15</v>
      </c>
      <c r="AD65" s="19" t="str">
        <f t="shared" ref="AD65" si="154">AD7</f>
        <v>CY15</v>
      </c>
      <c r="AF65" s="674"/>
    </row>
    <row r="66" spans="1:32" ht="12.75">
      <c r="A66" s="23"/>
      <c r="B66" s="26"/>
      <c r="C66" s="26"/>
      <c r="D66" s="23"/>
      <c r="E66" s="45" t="s">
        <v>218</v>
      </c>
      <c r="F66" s="45" t="s">
        <v>218</v>
      </c>
      <c r="G66" s="45" t="s">
        <v>218</v>
      </c>
      <c r="H66" s="45" t="s">
        <v>218</v>
      </c>
      <c r="I66" s="45" t="s">
        <v>218</v>
      </c>
      <c r="J66" s="45" t="s">
        <v>218</v>
      </c>
      <c r="K66" s="45" t="s">
        <v>218</v>
      </c>
      <c r="L66" s="45" t="s">
        <v>218</v>
      </c>
      <c r="M66" s="45" t="str">
        <f>M8</f>
        <v>TTM</v>
      </c>
      <c r="N66" s="45" t="str">
        <f t="shared" ref="N66:O66" si="155">N8</f>
        <v>TTM</v>
      </c>
      <c r="O66" s="45" t="str">
        <f t="shared" si="155"/>
        <v>TTM</v>
      </c>
      <c r="P66" s="45" t="str">
        <f t="shared" ref="P66:Q66" si="156">P8</f>
        <v>TTM</v>
      </c>
      <c r="Q66" s="45" t="str">
        <f t="shared" si="156"/>
        <v>TTM</v>
      </c>
      <c r="R66" s="45" t="str">
        <f t="shared" ref="R66:S66" si="157">R8</f>
        <v>TTM</v>
      </c>
      <c r="S66" s="45" t="str">
        <f t="shared" si="157"/>
        <v>TTM</v>
      </c>
      <c r="T66" s="45" t="str">
        <f t="shared" ref="T66:U66" si="158">T8</f>
        <v>TTM</v>
      </c>
      <c r="U66" s="45" t="str">
        <f t="shared" si="158"/>
        <v>TTM</v>
      </c>
      <c r="V66" s="45" t="str">
        <f t="shared" ref="V66:W66" si="159">V8</f>
        <v>TTM</v>
      </c>
      <c r="W66" s="45" t="str">
        <f t="shared" si="159"/>
        <v>TTM</v>
      </c>
      <c r="X66" s="45" t="str">
        <f t="shared" ref="X66:Y66" si="160">X8</f>
        <v>TTM</v>
      </c>
      <c r="Y66" s="45" t="str">
        <f t="shared" si="160"/>
        <v>TTM</v>
      </c>
      <c r="Z66" s="45" t="str">
        <f t="shared" ref="Z66:AA66" si="161">Z8</f>
        <v>TTM</v>
      </c>
      <c r="AA66" s="45" t="str">
        <f t="shared" si="161"/>
        <v>TTM</v>
      </c>
      <c r="AB66" s="45" t="str">
        <f t="shared" ref="AB66:AC66" si="162">AB8</f>
        <v>TTM</v>
      </c>
      <c r="AC66" s="45" t="str">
        <f t="shared" si="162"/>
        <v>TTM</v>
      </c>
      <c r="AD66" s="45" t="str">
        <f t="shared" ref="AD66" si="163">AD8</f>
        <v>TTM</v>
      </c>
      <c r="AF66" s="674"/>
    </row>
    <row r="67" spans="1:32" ht="7.5" customHeight="1">
      <c r="A67" s="21"/>
      <c r="B67" s="21"/>
      <c r="C67" s="21"/>
      <c r="D67" s="21"/>
      <c r="E67" s="503"/>
      <c r="F67" s="503"/>
      <c r="G67" s="503"/>
      <c r="H67" s="503"/>
      <c r="I67" s="503"/>
      <c r="J67" s="503"/>
      <c r="K67" s="503"/>
      <c r="L67" s="503"/>
      <c r="M67" s="504"/>
      <c r="N67" s="504"/>
      <c r="O67" s="504"/>
      <c r="P67" s="504"/>
      <c r="Q67" s="504"/>
      <c r="R67" s="504"/>
      <c r="S67" s="504"/>
      <c r="T67" s="504"/>
      <c r="U67" s="504"/>
      <c r="V67" s="504"/>
      <c r="W67" s="504"/>
      <c r="X67" s="504"/>
      <c r="Y67" s="504"/>
      <c r="Z67" s="504"/>
      <c r="AA67" s="504"/>
      <c r="AB67" s="504"/>
      <c r="AC67" s="504"/>
      <c r="AD67" s="504"/>
      <c r="AF67" s="674"/>
    </row>
    <row r="68" spans="1:32" ht="12.75">
      <c r="A68" s="8"/>
      <c r="B68" s="1" t="s">
        <v>204</v>
      </c>
      <c r="C68" s="9"/>
      <c r="D68" s="8"/>
      <c r="E68" s="13">
        <f>SUM('QTD P&amp;L'!E64:H64)</f>
        <v>4585</v>
      </c>
      <c r="F68" s="13">
        <f>SUM('QTD P&amp;L'!F64:I64)</f>
        <v>4623</v>
      </c>
      <c r="G68" s="13">
        <f>SUM('QTD P&amp;L'!G64:J64)</f>
        <v>4775</v>
      </c>
      <c r="H68" s="13">
        <f>SUM('QTD P&amp;L'!H64:K64)</f>
        <v>4765</v>
      </c>
      <c r="I68" s="13">
        <f>SUM('QTD P&amp;L'!I64:L64)</f>
        <v>4647</v>
      </c>
      <c r="J68" s="13">
        <f>SUM('QTD P&amp;L'!J64:M64)</f>
        <v>4749</v>
      </c>
      <c r="K68" s="13">
        <v>4803</v>
      </c>
      <c r="L68" s="13">
        <f>SUM('QTD P&amp;L'!L64:O64)</f>
        <v>4843</v>
      </c>
      <c r="M68" s="13">
        <f>SUM('QTD P&amp;L'!M64:P64)</f>
        <v>4859</v>
      </c>
      <c r="N68" s="13">
        <f>SUM('QTD P&amp;L'!N64:Q64)</f>
        <v>4629</v>
      </c>
      <c r="O68" s="13">
        <v>4489</v>
      </c>
      <c r="P68" s="13">
        <f>SUM('QTD P&amp;L'!P64:S64)</f>
        <v>4321</v>
      </c>
      <c r="Q68" s="13">
        <f>SUM('QTD P&amp;L'!Q64:T64)</f>
        <v>4676</v>
      </c>
      <c r="R68" s="13">
        <f>SUM('QTD P&amp;L'!R64:U64)</f>
        <v>4800</v>
      </c>
      <c r="S68" s="13">
        <v>4987</v>
      </c>
      <c r="T68" s="13">
        <f>SUM('QTD P&amp;L'!T64:W64)</f>
        <v>5204</v>
      </c>
      <c r="U68" s="13">
        <f>SUM('QTD P&amp;L'!U64:X64)</f>
        <v>4758</v>
      </c>
      <c r="V68" s="13">
        <f>SUM('QTD P&amp;L'!V64:Y64)</f>
        <v>4664</v>
      </c>
      <c r="W68" s="13">
        <v>4342</v>
      </c>
      <c r="X68" s="13">
        <f>SUM('QTD P&amp;L'!X64:AA64)</f>
        <v>4309</v>
      </c>
      <c r="Y68" s="13">
        <f>SUM('QTD P&amp;L'!Y64:AB64)</f>
        <v>4359</v>
      </c>
      <c r="Z68" s="13">
        <f>SUM('QTD P&amp;L'!Z64:AC64)</f>
        <v>4872</v>
      </c>
      <c r="AA68" s="13">
        <v>4813</v>
      </c>
      <c r="AB68" s="13">
        <f>SUM('QTD P&amp;L'!AB64:AE64)</f>
        <v>4744</v>
      </c>
      <c r="AC68" s="13">
        <f>SUM('QTD P&amp;L'!AC64:AF64)</f>
        <v>4845</v>
      </c>
      <c r="AD68" s="13">
        <f>SUM('QTD P&amp;L'!AD64:AG64)</f>
        <v>4715</v>
      </c>
      <c r="AF68" s="674"/>
    </row>
    <row r="69" spans="1:32" ht="12.75">
      <c r="A69" s="8"/>
      <c r="B69" s="1" t="s">
        <v>203</v>
      </c>
      <c r="C69" s="9"/>
      <c r="D69" s="8"/>
      <c r="E69" s="485"/>
      <c r="F69" s="13"/>
      <c r="G69" s="485"/>
      <c r="H69" s="485"/>
      <c r="I69" s="485"/>
      <c r="J69" s="13"/>
      <c r="K69" s="485"/>
      <c r="L69" s="485"/>
      <c r="M69" s="485"/>
      <c r="N69" s="13"/>
      <c r="O69" s="13"/>
      <c r="P69" s="13"/>
      <c r="Q69" s="13"/>
      <c r="R69" s="13"/>
      <c r="S69" s="13"/>
      <c r="T69" s="13"/>
      <c r="U69" s="13"/>
      <c r="V69" s="13"/>
      <c r="W69" s="13"/>
      <c r="X69" s="13"/>
      <c r="Y69" s="13"/>
      <c r="Z69" s="13"/>
      <c r="AA69" s="13"/>
      <c r="AB69" s="13"/>
      <c r="AC69" s="13"/>
      <c r="AD69" s="13"/>
      <c r="AF69" s="674"/>
    </row>
    <row r="70" spans="1:32" s="48" customFormat="1" ht="12.75">
      <c r="A70" s="10"/>
      <c r="B70" s="2"/>
      <c r="C70" s="2" t="s">
        <v>214</v>
      </c>
      <c r="D70" s="10"/>
      <c r="E70" s="47">
        <f>SUM('QTD P&amp;L'!E66:H66)</f>
        <v>1678</v>
      </c>
      <c r="F70" s="47">
        <f>SUM('QTD P&amp;L'!F66:I66)</f>
        <v>1612</v>
      </c>
      <c r="G70" s="47">
        <v>1542</v>
      </c>
      <c r="H70" s="47">
        <f>SUM('QTD P&amp;L'!H66:K66)</f>
        <v>1507</v>
      </c>
      <c r="I70" s="47">
        <f>SUM('QTD P&amp;L'!I66:L66)</f>
        <v>1436</v>
      </c>
      <c r="J70" s="47">
        <f>SUM('QTD P&amp;L'!J66:M66)</f>
        <v>1428</v>
      </c>
      <c r="K70" s="47">
        <v>1348</v>
      </c>
      <c r="L70" s="47">
        <f>SUM('QTD P&amp;L'!L66:O66)</f>
        <v>1312</v>
      </c>
      <c r="M70" s="47">
        <f>SUM('QTD P&amp;L'!M66:P66)</f>
        <v>1281</v>
      </c>
      <c r="N70" s="47">
        <f>SUM('QTD P&amp;L'!N66:Q66)</f>
        <v>1213</v>
      </c>
      <c r="O70" s="47">
        <v>1121</v>
      </c>
      <c r="P70" s="47">
        <f>SUM('QTD P&amp;L'!P66:S66)</f>
        <v>1091</v>
      </c>
      <c r="Q70" s="47">
        <f>SUM('QTD P&amp;L'!Q66:T66)</f>
        <v>1124</v>
      </c>
      <c r="R70" s="47">
        <f>SUM('QTD P&amp;L'!R66:U66)</f>
        <v>1137</v>
      </c>
      <c r="S70" s="47">
        <v>1116</v>
      </c>
      <c r="T70" s="47">
        <f>SUM('QTD P&amp;L'!T66:W66)</f>
        <v>1123</v>
      </c>
      <c r="U70" s="47">
        <f>SUM('QTD P&amp;L'!U66:X66)</f>
        <v>1057</v>
      </c>
      <c r="V70" s="47">
        <f>SUM('QTD P&amp;L'!V66:Y66)</f>
        <v>1028</v>
      </c>
      <c r="W70" s="47">
        <v>1043</v>
      </c>
      <c r="X70" s="47">
        <f>SUM('QTD P&amp;L'!X66:AA66)</f>
        <v>1027</v>
      </c>
      <c r="Y70" s="47">
        <f>SUM('QTD P&amp;L'!Y66:AB66)</f>
        <v>1043</v>
      </c>
      <c r="Z70" s="47">
        <f>SUM('QTD P&amp;L'!Z66:AC66)</f>
        <v>1167</v>
      </c>
      <c r="AA70" s="47">
        <v>1028</v>
      </c>
      <c r="AB70" s="47">
        <f>SUM('QTD P&amp;L'!AB66:AE66)</f>
        <v>994</v>
      </c>
      <c r="AC70" s="47">
        <f>SUM('QTD P&amp;L'!AC66:AF66)</f>
        <v>973</v>
      </c>
      <c r="AD70" s="47">
        <f>SUM('QTD P&amp;L'!AD66:AG66)</f>
        <v>939</v>
      </c>
      <c r="AF70" s="674"/>
    </row>
    <row r="71" spans="1:32" s="48" customFormat="1" ht="12.75">
      <c r="A71" s="10"/>
      <c r="B71" s="2"/>
      <c r="C71" s="2" t="s">
        <v>313</v>
      </c>
      <c r="D71" s="10"/>
      <c r="E71" s="47">
        <f>SUM('QTD P&amp;L'!E67:H67)</f>
        <v>199</v>
      </c>
      <c r="F71" s="47">
        <f>SUM('QTD P&amp;L'!F67:I67)</f>
        <v>211</v>
      </c>
      <c r="G71" s="47">
        <v>212</v>
      </c>
      <c r="H71" s="47">
        <f>SUM('QTD P&amp;L'!H67:K67)</f>
        <v>218</v>
      </c>
      <c r="I71" s="47">
        <f>SUM('QTD P&amp;L'!I67:L67)</f>
        <v>222</v>
      </c>
      <c r="J71" s="47">
        <f>SUM('QTD P&amp;L'!J67:M67)</f>
        <v>231</v>
      </c>
      <c r="K71" s="47">
        <f>241+9</f>
        <v>250</v>
      </c>
      <c r="L71" s="47">
        <f>SUM('QTD P&amp;L'!L67:O67)</f>
        <v>261</v>
      </c>
      <c r="M71" s="47">
        <f>SUM('QTD P&amp;L'!M67:P67)</f>
        <v>268</v>
      </c>
      <c r="N71" s="47">
        <f>SUM('QTD P&amp;L'!N67:Q67)</f>
        <v>267</v>
      </c>
      <c r="O71" s="47">
        <f>238+17</f>
        <v>255</v>
      </c>
      <c r="P71" s="47">
        <f>SUM('QTD P&amp;L'!P67:S67)</f>
        <v>259</v>
      </c>
      <c r="Q71" s="47">
        <f>SUM('QTD P&amp;L'!Q67:T67)</f>
        <v>268</v>
      </c>
      <c r="R71" s="47">
        <f>SUM('QTD P&amp;L'!R67:U67)</f>
        <v>267</v>
      </c>
      <c r="S71" s="47">
        <f>232+32</f>
        <v>264</v>
      </c>
      <c r="T71" s="47">
        <f>SUM('QTD P&amp;L'!T67:W67)</f>
        <v>250</v>
      </c>
      <c r="U71" s="47">
        <f>SUM('QTD P&amp;L'!U67:X67)</f>
        <v>233</v>
      </c>
      <c r="V71" s="47">
        <f>SUM('QTD P&amp;L'!V67:Y67)</f>
        <v>214</v>
      </c>
      <c r="W71" s="47">
        <v>204</v>
      </c>
      <c r="X71" s="47">
        <f>SUM('QTD P&amp;L'!X67:AA67)</f>
        <v>205</v>
      </c>
      <c r="Y71" s="47">
        <f>SUM('QTD P&amp;L'!Y67:AB67)</f>
        <v>207</v>
      </c>
      <c r="Z71" s="47">
        <f>SUM('QTD P&amp;L'!Z67:AC67)</f>
        <v>220</v>
      </c>
      <c r="AA71" s="47">
        <v>231</v>
      </c>
      <c r="AB71" s="47">
        <f>SUM('QTD P&amp;L'!AB67:AE67)</f>
        <v>226</v>
      </c>
      <c r="AC71" s="47">
        <f>SUM('QTD P&amp;L'!AC67:AF67)</f>
        <v>223</v>
      </c>
      <c r="AD71" s="47">
        <f>SUM('QTD P&amp;L'!AD67:AG67)</f>
        <v>222</v>
      </c>
      <c r="AF71" s="674"/>
    </row>
    <row r="72" spans="1:32" s="48" customFormat="1" ht="12.75">
      <c r="A72" s="10"/>
      <c r="B72" s="2"/>
      <c r="C72" s="2" t="s">
        <v>212</v>
      </c>
      <c r="D72" s="10"/>
      <c r="E72" s="47">
        <f>SUM('QTD P&amp;L'!E68:H68)</f>
        <v>254</v>
      </c>
      <c r="F72" s="47">
        <f>SUM('QTD P&amp;L'!F68:I68)</f>
        <v>303</v>
      </c>
      <c r="G72" s="47">
        <v>244</v>
      </c>
      <c r="H72" s="47">
        <f>SUM('QTD P&amp;L'!H68:K68)</f>
        <v>246</v>
      </c>
      <c r="I72" s="47">
        <f>SUM('QTD P&amp;L'!I68:L68)</f>
        <v>262</v>
      </c>
      <c r="J72" s="47">
        <f>SUM('QTD P&amp;L'!J68:M68)</f>
        <v>241</v>
      </c>
      <c r="K72" s="47">
        <v>287</v>
      </c>
      <c r="L72" s="47">
        <f>SUM('QTD P&amp;L'!L68:O68)</f>
        <v>273</v>
      </c>
      <c r="M72" s="47">
        <f>SUM('QTD P&amp;L'!M68:P68)</f>
        <v>233</v>
      </c>
      <c r="N72" s="47">
        <f>SUM('QTD P&amp;L'!N68:Q68)</f>
        <v>194</v>
      </c>
      <c r="O72" s="47">
        <v>159</v>
      </c>
      <c r="P72" s="47">
        <f>SUM('QTD P&amp;L'!P68:S68)</f>
        <v>155</v>
      </c>
      <c r="Q72" s="47">
        <f>SUM('QTD P&amp;L'!Q68:T68)</f>
        <v>197</v>
      </c>
      <c r="R72" s="47">
        <f>SUM('QTD P&amp;L'!R68:U68)</f>
        <v>224</v>
      </c>
      <c r="S72" s="47">
        <v>221</v>
      </c>
      <c r="T72" s="47">
        <f>SUM('QTD P&amp;L'!T68:W68)</f>
        <v>233</v>
      </c>
      <c r="U72" s="47">
        <f>SUM('QTD P&amp;L'!U68:X68)</f>
        <v>188</v>
      </c>
      <c r="V72" s="47">
        <f>SUM('QTD P&amp;L'!V68:Y68)</f>
        <v>159</v>
      </c>
      <c r="W72" s="47">
        <v>172</v>
      </c>
      <c r="X72" s="47">
        <f>SUM('QTD P&amp;L'!X68:AA68)</f>
        <v>175</v>
      </c>
      <c r="Y72" s="47">
        <f>SUM('QTD P&amp;L'!Y68:AB68)</f>
        <v>184</v>
      </c>
      <c r="Z72" s="47">
        <f>SUM('QTD P&amp;L'!Z68:AC68)</f>
        <v>362</v>
      </c>
      <c r="AA72" s="47">
        <v>404</v>
      </c>
      <c r="AB72" s="47">
        <f>SUM('QTD P&amp;L'!AB68:AE68)</f>
        <v>423</v>
      </c>
      <c r="AC72" s="47">
        <f>SUM('QTD P&amp;L'!AC68:AF68)</f>
        <v>442</v>
      </c>
      <c r="AD72" s="47">
        <f>SUM('QTD P&amp;L'!AD68:AG68)</f>
        <v>346</v>
      </c>
      <c r="AF72" s="674"/>
    </row>
    <row r="73" spans="1:32" s="48" customFormat="1" ht="12.75">
      <c r="A73" s="10"/>
      <c r="B73" s="2"/>
      <c r="C73" s="2" t="s">
        <v>213</v>
      </c>
      <c r="D73" s="10"/>
      <c r="E73" s="47">
        <f>SUM('QTD P&amp;L'!E69:H69)</f>
        <v>145</v>
      </c>
      <c r="F73" s="47">
        <f>SUM('QTD P&amp;L'!F69:I69)</f>
        <v>157</v>
      </c>
      <c r="G73" s="47">
        <v>127</v>
      </c>
      <c r="H73" s="47">
        <f>SUM('QTD P&amp;L'!H69:K69)</f>
        <v>115</v>
      </c>
      <c r="I73" s="47">
        <f>SUM('QTD P&amp;L'!I69:L69)</f>
        <v>105</v>
      </c>
      <c r="J73" s="47">
        <f>SUM('QTD P&amp;L'!J69:M69)</f>
        <v>104</v>
      </c>
      <c r="K73" s="47">
        <v>100</v>
      </c>
      <c r="L73" s="47">
        <f>SUM('QTD P&amp;L'!L69:O69)</f>
        <v>90</v>
      </c>
      <c r="M73" s="47">
        <f>SUM('QTD P&amp;L'!M69:P69)</f>
        <v>84</v>
      </c>
      <c r="N73" s="47">
        <f>SUM('QTD P&amp;L'!N69:Q69)</f>
        <v>66</v>
      </c>
      <c r="O73" s="47">
        <v>72</v>
      </c>
      <c r="P73" s="47">
        <f>SUM('QTD P&amp;L'!P69:S69)</f>
        <v>67</v>
      </c>
      <c r="Q73" s="47">
        <f>SUM('QTD P&amp;L'!Q69:T69)</f>
        <v>73</v>
      </c>
      <c r="R73" s="47">
        <f>SUM('QTD P&amp;L'!R69:U69)</f>
        <v>75</v>
      </c>
      <c r="S73" s="47">
        <v>62</v>
      </c>
      <c r="T73" s="47">
        <f>SUM('QTD P&amp;L'!T69:W69)</f>
        <v>91</v>
      </c>
      <c r="U73" s="47">
        <f>SUM('QTD P&amp;L'!U69:X69)</f>
        <v>83</v>
      </c>
      <c r="V73" s="47">
        <f>SUM('QTD P&amp;L'!V69:Y69)</f>
        <v>76</v>
      </c>
      <c r="W73" s="47">
        <v>60</v>
      </c>
      <c r="X73" s="47">
        <f>SUM('QTD P&amp;L'!X69:AA69)</f>
        <v>28</v>
      </c>
      <c r="Y73" s="47">
        <f>SUM('QTD P&amp;L'!Y69:AB69)</f>
        <v>29</v>
      </c>
      <c r="Z73" s="47">
        <f>SUM('QTD P&amp;L'!Z69:AC69)</f>
        <v>32</v>
      </c>
      <c r="AA73" s="47">
        <v>22</v>
      </c>
      <c r="AB73" s="47">
        <f>SUM('QTD P&amp;L'!AB69:AE69)</f>
        <v>23</v>
      </c>
      <c r="AC73" s="47">
        <f>SUM('QTD P&amp;L'!AC69:AF69)</f>
        <v>14</v>
      </c>
      <c r="AD73" s="47">
        <f>SUM('QTD P&amp;L'!AD69:AG69)</f>
        <v>13</v>
      </c>
      <c r="AF73" s="674"/>
    </row>
    <row r="74" spans="1:32" ht="12.75">
      <c r="A74" s="10"/>
      <c r="B74" s="10"/>
      <c r="C74" s="6" t="s">
        <v>47</v>
      </c>
      <c r="D74" s="10"/>
      <c r="E74" s="15">
        <f>SUM('QTD P&amp;L'!E70:H70)</f>
        <v>505</v>
      </c>
      <c r="F74" s="15">
        <f>SUM('QTD P&amp;L'!F70:I70)</f>
        <v>514</v>
      </c>
      <c r="G74" s="15">
        <v>591</v>
      </c>
      <c r="H74" s="15">
        <f>SUM('QTD P&amp;L'!H70:K70)</f>
        <v>610</v>
      </c>
      <c r="I74" s="15">
        <f>SUM('QTD P&amp;L'!I70:L70)</f>
        <v>597</v>
      </c>
      <c r="J74" s="15">
        <f>SUM('QTD P&amp;L'!J70:M70)</f>
        <v>595</v>
      </c>
      <c r="K74" s="15">
        <f>630-7-9</f>
        <v>614</v>
      </c>
      <c r="L74" s="15">
        <f>SUM('QTD P&amp;L'!L70:O70)</f>
        <v>607</v>
      </c>
      <c r="M74" s="15">
        <f>SUM('QTD P&amp;L'!M70:P70)</f>
        <v>612</v>
      </c>
      <c r="N74" s="15">
        <f>SUM('QTD P&amp;L'!N70:Q70)</f>
        <v>627</v>
      </c>
      <c r="O74" s="15">
        <f>606-17</f>
        <v>589</v>
      </c>
      <c r="P74" s="15">
        <f>SUM('QTD P&amp;L'!P70:S70)</f>
        <v>566</v>
      </c>
      <c r="Q74" s="15">
        <f>SUM('QTD P&amp;L'!Q70:T70)</f>
        <v>598</v>
      </c>
      <c r="R74" s="15">
        <f>SUM('QTD P&amp;L'!R70:U70)</f>
        <v>594</v>
      </c>
      <c r="S74" s="15">
        <f>616-32</f>
        <v>584</v>
      </c>
      <c r="T74" s="15">
        <f>SUM('QTD P&amp;L'!T70:W70)</f>
        <v>594</v>
      </c>
      <c r="U74" s="15">
        <f>SUM('QTD P&amp;L'!U70:X70)</f>
        <v>570</v>
      </c>
      <c r="V74" s="15">
        <f>SUM('QTD P&amp;L'!V70:Y70)</f>
        <v>581</v>
      </c>
      <c r="W74" s="15">
        <v>551</v>
      </c>
      <c r="X74" s="15">
        <f>SUM('QTD P&amp;L'!X70:AA70)</f>
        <v>569</v>
      </c>
      <c r="Y74" s="15">
        <f>SUM('QTD P&amp;L'!Y70:AB70)</f>
        <v>562</v>
      </c>
      <c r="Z74" s="15">
        <f>SUM('QTD P&amp;L'!Z70:AC70)</f>
        <v>557</v>
      </c>
      <c r="AA74" s="15">
        <v>549</v>
      </c>
      <c r="AB74" s="15">
        <f>SUM('QTD P&amp;L'!AB70:AE70)</f>
        <v>552</v>
      </c>
      <c r="AC74" s="15">
        <f>SUM('QTD P&amp;L'!AC70:AF70)</f>
        <v>586</v>
      </c>
      <c r="AD74" s="15">
        <f>SUM('QTD P&amp;L'!AD70:AG70)</f>
        <v>613</v>
      </c>
      <c r="AF74" s="674"/>
    </row>
    <row r="75" spans="1:32" ht="12.75">
      <c r="A75" s="10"/>
      <c r="B75" s="10"/>
      <c r="C75" s="6" t="s">
        <v>48</v>
      </c>
      <c r="D75" s="10"/>
      <c r="E75" s="15">
        <f>SUM('QTD P&amp;L'!E71:H71)</f>
        <v>516</v>
      </c>
      <c r="F75" s="15">
        <f>SUM('QTD P&amp;L'!F71:I71)</f>
        <v>556</v>
      </c>
      <c r="G75" s="15">
        <v>537</v>
      </c>
      <c r="H75" s="15">
        <f>SUM('QTD P&amp;L'!H71:K71)</f>
        <v>515</v>
      </c>
      <c r="I75" s="15">
        <f>SUM('QTD P&amp;L'!I71:L71)</f>
        <v>524</v>
      </c>
      <c r="J75" s="15">
        <f>SUM('QTD P&amp;L'!J71:M71)</f>
        <v>501</v>
      </c>
      <c r="K75" s="15">
        <f>512-4</f>
        <v>508</v>
      </c>
      <c r="L75" s="15">
        <f>SUM('QTD P&amp;L'!L71:O71)</f>
        <v>513</v>
      </c>
      <c r="M75" s="15">
        <f>SUM('QTD P&amp;L'!M71:P71)</f>
        <v>482</v>
      </c>
      <c r="N75" s="15">
        <f>SUM('QTD P&amp;L'!N71:Q71)</f>
        <v>487</v>
      </c>
      <c r="O75" s="15">
        <v>539</v>
      </c>
      <c r="P75" s="15">
        <f>SUM('QTD P&amp;L'!P71:S71)</f>
        <v>561</v>
      </c>
      <c r="Q75" s="15">
        <f>SUM('QTD P&amp;L'!Q71:T71)</f>
        <v>604</v>
      </c>
      <c r="R75" s="15">
        <f>SUM('QTD P&amp;L'!R71:U71)</f>
        <v>620</v>
      </c>
      <c r="S75" s="15">
        <v>570</v>
      </c>
      <c r="T75" s="15">
        <f>SUM('QTD P&amp;L'!T71:W71)</f>
        <v>599</v>
      </c>
      <c r="U75" s="15">
        <f>SUM('QTD P&amp;L'!U71:X71)</f>
        <v>578</v>
      </c>
      <c r="V75" s="15">
        <f>SUM('QTD P&amp;L'!V71:Y71)</f>
        <v>591</v>
      </c>
      <c r="W75" s="15">
        <v>599</v>
      </c>
      <c r="X75" s="15">
        <f>SUM('QTD P&amp;L'!X71:AA71)</f>
        <v>595</v>
      </c>
      <c r="Y75" s="15">
        <f>SUM('QTD P&amp;L'!Y71:AB71)</f>
        <v>620</v>
      </c>
      <c r="Z75" s="15">
        <f>SUM('QTD P&amp;L'!Z71:AC71)</f>
        <v>696</v>
      </c>
      <c r="AA75" s="15">
        <v>704</v>
      </c>
      <c r="AB75" s="15">
        <f>SUM('QTD P&amp;L'!AB71:AE71)</f>
        <v>692</v>
      </c>
      <c r="AC75" s="15">
        <f>SUM('QTD P&amp;L'!AC71:AF71)</f>
        <v>715</v>
      </c>
      <c r="AD75" s="15">
        <f>SUM('QTD P&amp;L'!AD71:AG71)</f>
        <v>684</v>
      </c>
      <c r="AF75" s="674"/>
    </row>
    <row r="76" spans="1:32">
      <c r="A76" s="10"/>
      <c r="B76" s="10"/>
      <c r="C76" s="6" t="s">
        <v>49</v>
      </c>
      <c r="D76" s="10"/>
      <c r="E76" s="16">
        <f>SUM('QTD P&amp;L'!E72:H72)</f>
        <v>247</v>
      </c>
      <c r="F76" s="16">
        <f>SUM('QTD P&amp;L'!F72:I72)</f>
        <v>276</v>
      </c>
      <c r="G76" s="16">
        <v>288</v>
      </c>
      <c r="H76" s="16">
        <f>SUM('QTD P&amp;L'!H72:K72)</f>
        <v>274</v>
      </c>
      <c r="I76" s="16">
        <f>SUM('QTD P&amp;L'!I72:L72)</f>
        <v>276</v>
      </c>
      <c r="J76" s="16">
        <f>SUM('QTD P&amp;L'!J72:M72)</f>
        <v>295</v>
      </c>
      <c r="K76" s="16">
        <f>314+11</f>
        <v>325</v>
      </c>
      <c r="L76" s="16">
        <f>SUM('QTD P&amp;L'!L72:O72)</f>
        <v>363</v>
      </c>
      <c r="M76" s="16">
        <f>SUM('QTD P&amp;L'!M72:P72)</f>
        <v>411</v>
      </c>
      <c r="N76" s="16">
        <f>SUM('QTD P&amp;L'!N72:Q72)</f>
        <v>406</v>
      </c>
      <c r="O76" s="16">
        <v>396</v>
      </c>
      <c r="P76" s="16">
        <f>SUM('QTD P&amp;L'!P72:S72)</f>
        <v>392</v>
      </c>
      <c r="Q76" s="16">
        <f>SUM('QTD P&amp;L'!Q72:T72)</f>
        <v>447</v>
      </c>
      <c r="R76" s="16">
        <f>SUM('QTD P&amp;L'!R72:U72)</f>
        <v>449</v>
      </c>
      <c r="S76" s="16">
        <v>472</v>
      </c>
      <c r="T76" s="16">
        <f>SUM('QTD P&amp;L'!T72:W72)</f>
        <v>459</v>
      </c>
      <c r="U76" s="16">
        <f>SUM('QTD P&amp;L'!U72:X72)</f>
        <v>375</v>
      </c>
      <c r="V76" s="16">
        <f>SUM('QTD P&amp;L'!V72:Y72)</f>
        <v>367</v>
      </c>
      <c r="W76" s="16">
        <v>358</v>
      </c>
      <c r="X76" s="16">
        <f>SUM('QTD P&amp;L'!X72:AA72)</f>
        <v>363</v>
      </c>
      <c r="Y76" s="16">
        <f>SUM('QTD P&amp;L'!Y72:AB72)</f>
        <v>373</v>
      </c>
      <c r="Z76" s="16">
        <f>SUM('QTD P&amp;L'!Z72:AC72)</f>
        <v>365</v>
      </c>
      <c r="AA76" s="16">
        <v>348</v>
      </c>
      <c r="AB76" s="16">
        <f>SUM('QTD P&amp;L'!AB72:AE72)</f>
        <v>343</v>
      </c>
      <c r="AC76" s="16">
        <f>SUM('QTD P&amp;L'!AC72:AF72)</f>
        <v>341</v>
      </c>
      <c r="AD76" s="16">
        <f>SUM('QTD P&amp;L'!AD72:AG72)</f>
        <v>356</v>
      </c>
      <c r="AF76" s="674"/>
    </row>
    <row r="77" spans="1:32">
      <c r="A77" s="10"/>
      <c r="B77" s="10"/>
      <c r="C77" s="10"/>
      <c r="D77" s="10" t="s">
        <v>202</v>
      </c>
      <c r="E77" s="16">
        <f t="shared" ref="E77:L77" si="164">SUM(E70:E76)</f>
        <v>3544</v>
      </c>
      <c r="F77" s="16">
        <f t="shared" si="164"/>
        <v>3629</v>
      </c>
      <c r="G77" s="16">
        <f t="shared" si="164"/>
        <v>3541</v>
      </c>
      <c r="H77" s="16">
        <f t="shared" si="164"/>
        <v>3485</v>
      </c>
      <c r="I77" s="16">
        <f t="shared" si="164"/>
        <v>3422</v>
      </c>
      <c r="J77" s="16">
        <f t="shared" si="164"/>
        <v>3395</v>
      </c>
      <c r="K77" s="16">
        <f t="shared" si="164"/>
        <v>3432</v>
      </c>
      <c r="L77" s="16">
        <f t="shared" si="164"/>
        <v>3419</v>
      </c>
      <c r="M77" s="16">
        <f t="shared" ref="M77" si="165">SUM(M70:M76)</f>
        <v>3371</v>
      </c>
      <c r="N77" s="16">
        <f t="shared" ref="N77:S77" si="166">SUM(N70:N76)</f>
        <v>3260</v>
      </c>
      <c r="O77" s="16">
        <f t="shared" si="166"/>
        <v>3131</v>
      </c>
      <c r="P77" s="16">
        <f t="shared" si="166"/>
        <v>3091</v>
      </c>
      <c r="Q77" s="16">
        <f t="shared" si="166"/>
        <v>3311</v>
      </c>
      <c r="R77" s="16">
        <f t="shared" si="166"/>
        <v>3366</v>
      </c>
      <c r="S77" s="16">
        <f t="shared" si="166"/>
        <v>3289</v>
      </c>
      <c r="T77" s="16">
        <f t="shared" ref="T77:U77" si="167">SUM(T70:T76)</f>
        <v>3349</v>
      </c>
      <c r="U77" s="16">
        <f t="shared" si="167"/>
        <v>3084</v>
      </c>
      <c r="V77" s="16">
        <f t="shared" ref="V77:W77" si="168">SUM(V70:V76)</f>
        <v>3016</v>
      </c>
      <c r="W77" s="16">
        <f t="shared" si="168"/>
        <v>2987</v>
      </c>
      <c r="X77" s="16">
        <f t="shared" ref="X77:Y77" si="169">SUM(X70:X76)</f>
        <v>2962</v>
      </c>
      <c r="Y77" s="16">
        <f t="shared" si="169"/>
        <v>3018</v>
      </c>
      <c r="Z77" s="16">
        <f t="shared" ref="Z77:AA77" si="170">SUM(Z70:Z76)</f>
        <v>3399</v>
      </c>
      <c r="AA77" s="16">
        <f t="shared" si="170"/>
        <v>3286</v>
      </c>
      <c r="AB77" s="16">
        <f t="shared" ref="AB77:AC77" si="171">SUM(AB70:AB76)</f>
        <v>3253</v>
      </c>
      <c r="AC77" s="16">
        <f t="shared" si="171"/>
        <v>3294</v>
      </c>
      <c r="AD77" s="16">
        <f>SUM(AD70:AD76)</f>
        <v>3173</v>
      </c>
      <c r="AF77" s="674"/>
    </row>
    <row r="78" spans="1:32" ht="12.75">
      <c r="A78" s="11"/>
      <c r="B78" s="25" t="s">
        <v>1</v>
      </c>
      <c r="C78" s="3"/>
      <c r="D78" s="11"/>
      <c r="E78" s="14">
        <f>E68-E77</f>
        <v>1041</v>
      </c>
      <c r="F78" s="14">
        <f t="shared" ref="F78:M78" si="172">F68-F77</f>
        <v>994</v>
      </c>
      <c r="G78" s="14">
        <f t="shared" si="172"/>
        <v>1234</v>
      </c>
      <c r="H78" s="14">
        <f t="shared" si="172"/>
        <v>1280</v>
      </c>
      <c r="I78" s="14">
        <f t="shared" si="172"/>
        <v>1225</v>
      </c>
      <c r="J78" s="14">
        <f t="shared" si="172"/>
        <v>1354</v>
      </c>
      <c r="K78" s="14">
        <f t="shared" si="172"/>
        <v>1371</v>
      </c>
      <c r="L78" s="14">
        <f t="shared" si="172"/>
        <v>1424</v>
      </c>
      <c r="M78" s="14">
        <f t="shared" si="172"/>
        <v>1488</v>
      </c>
      <c r="N78" s="14">
        <f t="shared" ref="N78:S78" si="173">N68-N77</f>
        <v>1369</v>
      </c>
      <c r="O78" s="14">
        <f t="shared" si="173"/>
        <v>1358</v>
      </c>
      <c r="P78" s="14">
        <f t="shared" si="173"/>
        <v>1230</v>
      </c>
      <c r="Q78" s="14">
        <f t="shared" si="173"/>
        <v>1365</v>
      </c>
      <c r="R78" s="14">
        <f t="shared" si="173"/>
        <v>1434</v>
      </c>
      <c r="S78" s="14">
        <f t="shared" si="173"/>
        <v>1698</v>
      </c>
      <c r="T78" s="14">
        <f t="shared" ref="T78:U78" si="174">T68-T77</f>
        <v>1855</v>
      </c>
      <c r="U78" s="14">
        <f t="shared" si="174"/>
        <v>1674</v>
      </c>
      <c r="V78" s="14">
        <f t="shared" ref="V78:W78" si="175">V68-V77</f>
        <v>1648</v>
      </c>
      <c r="W78" s="14">
        <f t="shared" si="175"/>
        <v>1355</v>
      </c>
      <c r="X78" s="14">
        <f t="shared" ref="X78:Y78" si="176">X68-X77</f>
        <v>1347</v>
      </c>
      <c r="Y78" s="14">
        <f t="shared" si="176"/>
        <v>1341</v>
      </c>
      <c r="Z78" s="14">
        <f t="shared" ref="Z78:AA78" si="177">Z68-Z77</f>
        <v>1473</v>
      </c>
      <c r="AA78" s="14">
        <f t="shared" si="177"/>
        <v>1527</v>
      </c>
      <c r="AB78" s="14">
        <f t="shared" ref="AB78:AC78" si="178">AB68-AB77</f>
        <v>1491</v>
      </c>
      <c r="AC78" s="14">
        <f t="shared" si="178"/>
        <v>1551</v>
      </c>
      <c r="AD78" s="14">
        <f>AD68-AD77</f>
        <v>1542</v>
      </c>
      <c r="AF78" s="674"/>
    </row>
    <row r="79" spans="1:32">
      <c r="A79" s="12"/>
      <c r="B79" s="663" t="s">
        <v>334</v>
      </c>
      <c r="C79" s="12"/>
      <c r="D79" s="12"/>
      <c r="E79" s="16">
        <f>SUM('QTD P&amp;L'!E75:H75)</f>
        <v>-52</v>
      </c>
      <c r="F79" s="16">
        <f>SUM('QTD P&amp;L'!F75:I75)</f>
        <v>-31</v>
      </c>
      <c r="G79" s="395">
        <v>-10</v>
      </c>
      <c r="H79" s="16">
        <f>SUM('QTD P&amp;L'!H75:K75)</f>
        <v>0</v>
      </c>
      <c r="I79" s="16">
        <f>SUM('QTD P&amp;L'!I75:L75)</f>
        <v>-1</v>
      </c>
      <c r="J79" s="16">
        <f>SUM('QTD P&amp;L'!J75:M75)</f>
        <v>-12</v>
      </c>
      <c r="K79" s="395">
        <v>-23</v>
      </c>
      <c r="L79" s="16">
        <f>SUM('QTD P&amp;L'!L75:O75)</f>
        <v>-25</v>
      </c>
      <c r="M79" s="16">
        <f>SUM('QTD P&amp;L'!M75:P75)</f>
        <v>-26</v>
      </c>
      <c r="N79" s="16">
        <f>SUM('QTD P&amp;L'!N75:Q75)</f>
        <v>-15</v>
      </c>
      <c r="O79" s="16">
        <v>-3</v>
      </c>
      <c r="P79" s="16">
        <f>SUM('QTD P&amp;L'!P75:S75)</f>
        <v>-1</v>
      </c>
      <c r="Q79" s="16">
        <f>SUM('QTD P&amp;L'!Q75:T75)</f>
        <v>-1</v>
      </c>
      <c r="R79" s="16">
        <f>SUM('QTD P&amp;L'!R75:U75)</f>
        <v>1</v>
      </c>
      <c r="S79" s="16">
        <v>-7</v>
      </c>
      <c r="T79" s="16">
        <f>SUM('QTD P&amp;L'!T75:W75)</f>
        <v>-8</v>
      </c>
      <c r="U79" s="16">
        <f>SUM('QTD P&amp;L'!U75:X75)</f>
        <v>-6</v>
      </c>
      <c r="V79" s="16">
        <f>SUM('QTD P&amp;L'!V75:Y75)</f>
        <v>-1</v>
      </c>
      <c r="W79" s="16">
        <v>53</v>
      </c>
      <c r="X79" s="16">
        <f>SUM('QTD P&amp;L'!X75:AA75)</f>
        <v>106</v>
      </c>
      <c r="Y79" s="16">
        <f>SUM('QTD P&amp;L'!Y75:AB75)</f>
        <v>156</v>
      </c>
      <c r="Z79" s="16">
        <f>SUM('QTD P&amp;L'!Z75:AC75)</f>
        <v>203</v>
      </c>
      <c r="AA79" s="16">
        <v>201</v>
      </c>
      <c r="AB79" s="16">
        <f>SUM('QTD P&amp;L'!AB75:AE75)</f>
        <v>201</v>
      </c>
      <c r="AC79" s="16">
        <f>SUM('QTD P&amp;L'!AC75:AF75)</f>
        <v>201</v>
      </c>
      <c r="AD79" s="16">
        <f>SUM('QTD P&amp;L'!AD75:AG75)</f>
        <v>201</v>
      </c>
      <c r="AF79" s="674"/>
    </row>
    <row r="80" spans="1:32" ht="12.75">
      <c r="A80" s="12"/>
      <c r="B80" s="22" t="s">
        <v>325</v>
      </c>
      <c r="C80" s="4"/>
      <c r="D80" s="12"/>
      <c r="E80" s="15">
        <f>E78-E79</f>
        <v>1093</v>
      </c>
      <c r="F80" s="15">
        <f t="shared" ref="F80:AB80" si="179">F78-F79</f>
        <v>1025</v>
      </c>
      <c r="G80" s="394">
        <f t="shared" si="179"/>
        <v>1244</v>
      </c>
      <c r="H80" s="15">
        <f t="shared" si="179"/>
        <v>1280</v>
      </c>
      <c r="I80" s="15">
        <f t="shared" si="179"/>
        <v>1226</v>
      </c>
      <c r="J80" s="15">
        <f t="shared" si="179"/>
        <v>1366</v>
      </c>
      <c r="K80" s="394">
        <f t="shared" si="179"/>
        <v>1394</v>
      </c>
      <c r="L80" s="15">
        <f t="shared" si="179"/>
        <v>1449</v>
      </c>
      <c r="M80" s="15">
        <f t="shared" si="179"/>
        <v>1514</v>
      </c>
      <c r="N80" s="15">
        <f t="shared" si="179"/>
        <v>1384</v>
      </c>
      <c r="O80" s="15">
        <f t="shared" si="179"/>
        <v>1361</v>
      </c>
      <c r="P80" s="15">
        <f t="shared" si="179"/>
        <v>1231</v>
      </c>
      <c r="Q80" s="15">
        <f t="shared" si="179"/>
        <v>1366</v>
      </c>
      <c r="R80" s="15">
        <f t="shared" si="179"/>
        <v>1433</v>
      </c>
      <c r="S80" s="15">
        <f t="shared" si="179"/>
        <v>1705</v>
      </c>
      <c r="T80" s="15">
        <f t="shared" si="179"/>
        <v>1863</v>
      </c>
      <c r="U80" s="15">
        <f t="shared" si="179"/>
        <v>1680</v>
      </c>
      <c r="V80" s="15">
        <f t="shared" si="179"/>
        <v>1649</v>
      </c>
      <c r="W80" s="15">
        <f t="shared" si="179"/>
        <v>1302</v>
      </c>
      <c r="X80" s="15">
        <f t="shared" si="179"/>
        <v>1241</v>
      </c>
      <c r="Y80" s="15">
        <f t="shared" si="179"/>
        <v>1185</v>
      </c>
      <c r="Z80" s="15">
        <f t="shared" si="179"/>
        <v>1270</v>
      </c>
      <c r="AA80" s="15">
        <f t="shared" si="179"/>
        <v>1326</v>
      </c>
      <c r="AB80" s="15">
        <f t="shared" si="179"/>
        <v>1290</v>
      </c>
      <c r="AC80" s="15">
        <f t="shared" ref="AC80" si="180">AC78-AC79</f>
        <v>1350</v>
      </c>
      <c r="AD80" s="15">
        <f>AD78-AD79</f>
        <v>1341</v>
      </c>
      <c r="AF80" s="674"/>
    </row>
    <row r="81" spans="1:33">
      <c r="A81" s="12"/>
      <c r="B81" s="2" t="s">
        <v>326</v>
      </c>
      <c r="C81" s="4"/>
      <c r="D81" s="12"/>
      <c r="E81" s="16">
        <f>SUM('QTD P&amp;L'!E77:H77)</f>
        <v>349</v>
      </c>
      <c r="F81" s="16">
        <f>SUM('QTD P&amp;L'!F77:I77)</f>
        <v>318</v>
      </c>
      <c r="G81" s="395">
        <v>334</v>
      </c>
      <c r="H81" s="16">
        <f>SUM('QTD P&amp;L'!H77:K77)</f>
        <v>365</v>
      </c>
      <c r="I81" s="16">
        <f>SUM('QTD P&amp;L'!I77:L77)</f>
        <v>351</v>
      </c>
      <c r="J81" s="16">
        <f>SUM('QTD P&amp;L'!J77:M77)</f>
        <v>398</v>
      </c>
      <c r="K81" s="395">
        <v>403</v>
      </c>
      <c r="L81" s="16">
        <f>SUM('QTD P&amp;L'!L77:O77)</f>
        <v>418</v>
      </c>
      <c r="M81" s="16">
        <f>SUM('QTD P&amp;L'!M77:P77)</f>
        <v>437</v>
      </c>
      <c r="N81" s="16">
        <f>SUM('QTD P&amp;L'!N77:Q77)</f>
        <v>368</v>
      </c>
      <c r="O81" s="16">
        <v>274</v>
      </c>
      <c r="P81" s="16">
        <f>SUM('QTD P&amp;L'!P77:S77)</f>
        <v>234</v>
      </c>
      <c r="Q81" s="16">
        <f>SUM('QTD P&amp;L'!Q77:T77)</f>
        <v>263</v>
      </c>
      <c r="R81" s="16">
        <f>SUM('QTD P&amp;L'!R77:U77)</f>
        <v>249</v>
      </c>
      <c r="S81" s="16">
        <v>355</v>
      </c>
      <c r="T81" s="16">
        <f>SUM('QTD P&amp;L'!T77:W77)</f>
        <v>381</v>
      </c>
      <c r="U81" s="16">
        <f>SUM('QTD P&amp;L'!U77:X77)</f>
        <v>332</v>
      </c>
      <c r="V81" s="16">
        <f>SUM('QTD P&amp;L'!V77:Y77)</f>
        <v>379</v>
      </c>
      <c r="W81" s="16">
        <v>303</v>
      </c>
      <c r="X81" s="16">
        <f>SUM('QTD P&amp;L'!X77:AA77)</f>
        <v>299</v>
      </c>
      <c r="Y81" s="16">
        <f>SUM('QTD P&amp;L'!Y77:AB77)</f>
        <v>288</v>
      </c>
      <c r="Z81" s="16">
        <f>SUM('QTD P&amp;L'!Z77:AC77)</f>
        <v>290</v>
      </c>
      <c r="AA81" s="16">
        <v>269</v>
      </c>
      <c r="AB81" s="16">
        <f>SUM('QTD P&amp;L'!AB77:AE77)</f>
        <v>258</v>
      </c>
      <c r="AC81" s="16">
        <f>SUM('QTD P&amp;L'!AC77:AF77)</f>
        <v>270</v>
      </c>
      <c r="AD81" s="16">
        <f>SUM('QTD P&amp;L'!AD77:AG77)</f>
        <v>276</v>
      </c>
      <c r="AF81" s="674"/>
    </row>
    <row r="82" spans="1:33">
      <c r="A82" s="9"/>
      <c r="B82" s="25" t="s">
        <v>2</v>
      </c>
      <c r="C82" s="9"/>
      <c r="D82" s="9"/>
      <c r="E82" s="17">
        <f>E80-E81</f>
        <v>744</v>
      </c>
      <c r="F82" s="17">
        <f t="shared" ref="F82:M82" si="181">F80-F81</f>
        <v>707</v>
      </c>
      <c r="G82" s="17">
        <f t="shared" si="181"/>
        <v>910</v>
      </c>
      <c r="H82" s="17">
        <f t="shared" si="181"/>
        <v>915</v>
      </c>
      <c r="I82" s="17">
        <f t="shared" si="181"/>
        <v>875</v>
      </c>
      <c r="J82" s="17">
        <f t="shared" si="181"/>
        <v>968</v>
      </c>
      <c r="K82" s="17">
        <f t="shared" si="181"/>
        <v>991</v>
      </c>
      <c r="L82" s="17">
        <f t="shared" si="181"/>
        <v>1031</v>
      </c>
      <c r="M82" s="17">
        <f t="shared" si="181"/>
        <v>1077</v>
      </c>
      <c r="N82" s="17">
        <f t="shared" ref="N82:O82" si="182">N80-N81</f>
        <v>1016</v>
      </c>
      <c r="O82" s="17">
        <f t="shared" si="182"/>
        <v>1087</v>
      </c>
      <c r="P82" s="17">
        <f t="shared" ref="P82:Q82" si="183">P80-P81</f>
        <v>997</v>
      </c>
      <c r="Q82" s="17">
        <f t="shared" si="183"/>
        <v>1103</v>
      </c>
      <c r="R82" s="17">
        <f t="shared" ref="R82:W82" si="184">R80-R81</f>
        <v>1184</v>
      </c>
      <c r="S82" s="17">
        <f t="shared" si="184"/>
        <v>1350</v>
      </c>
      <c r="T82" s="17">
        <f t="shared" si="184"/>
        <v>1482</v>
      </c>
      <c r="U82" s="17">
        <f t="shared" si="184"/>
        <v>1348</v>
      </c>
      <c r="V82" s="17">
        <f t="shared" si="184"/>
        <v>1270</v>
      </c>
      <c r="W82" s="17">
        <f t="shared" si="184"/>
        <v>999</v>
      </c>
      <c r="X82" s="17">
        <f t="shared" ref="X82:Y82" si="185">X80-X81</f>
        <v>942</v>
      </c>
      <c r="Y82" s="17">
        <f t="shared" si="185"/>
        <v>897</v>
      </c>
      <c r="Z82" s="17">
        <f t="shared" ref="Z82:AA82" si="186">Z80-Z81</f>
        <v>980</v>
      </c>
      <c r="AA82" s="17">
        <f t="shared" si="186"/>
        <v>1057</v>
      </c>
      <c r="AB82" s="17">
        <f t="shared" ref="AB82:AC82" si="187">AB80-AB81</f>
        <v>1032</v>
      </c>
      <c r="AC82" s="17">
        <f t="shared" si="187"/>
        <v>1080</v>
      </c>
      <c r="AD82" s="17">
        <f>AD80-AD81</f>
        <v>1065</v>
      </c>
      <c r="AF82" s="674"/>
    </row>
    <row r="83" spans="1:33" ht="38.25" customHeight="1">
      <c r="A83" s="10"/>
      <c r="B83" s="686" t="s">
        <v>263</v>
      </c>
      <c r="C83" s="686"/>
      <c r="D83" s="686"/>
      <c r="E83" s="586">
        <f>SUM('QTD P&amp;L'!E79:H79)</f>
        <v>741</v>
      </c>
      <c r="F83" s="586">
        <f>SUM('QTD P&amp;L'!F79:I79)</f>
        <v>704</v>
      </c>
      <c r="G83" s="586">
        <v>903</v>
      </c>
      <c r="H83" s="586">
        <f>SUM('QTD P&amp;L'!H79:K79)</f>
        <v>913</v>
      </c>
      <c r="I83" s="586">
        <f>SUM('QTD P&amp;L'!I79:L79)</f>
        <v>874</v>
      </c>
      <c r="J83" s="586">
        <f>SUM('QTD P&amp;L'!J79:M79)</f>
        <v>966</v>
      </c>
      <c r="K83" s="587">
        <v>982</v>
      </c>
      <c r="L83" s="586">
        <f>SUM('QTD P&amp;L'!L79:O79)</f>
        <v>1019</v>
      </c>
      <c r="M83" s="586">
        <f>SUM('QTD P&amp;L'!M79:P79)</f>
        <v>1064</v>
      </c>
      <c r="N83" s="586">
        <f>SUM('QTD P&amp;L'!N79:Q79)</f>
        <v>1003</v>
      </c>
      <c r="O83" s="587">
        <v>1071</v>
      </c>
      <c r="P83" s="586">
        <f>SUM('QTD P&amp;L'!P79:S79)</f>
        <v>982</v>
      </c>
      <c r="Q83" s="586">
        <f>SUM('QTD P&amp;L'!Q79:T79)</f>
        <v>1085</v>
      </c>
      <c r="R83" s="586">
        <f>SUM('QTD P&amp;L'!R79:U79)</f>
        <v>1163</v>
      </c>
      <c r="S83" s="587">
        <v>1322</v>
      </c>
      <c r="T83" s="586">
        <f>SUM('QTD P&amp;L'!T79:W79)</f>
        <v>1451</v>
      </c>
      <c r="U83" s="586">
        <f>SUM('QTD P&amp;L'!U79:X79)</f>
        <v>1319</v>
      </c>
      <c r="V83" s="586">
        <f>SUM('QTD P&amp;L'!V79:Y79)</f>
        <v>1243</v>
      </c>
      <c r="W83" s="586">
        <v>976</v>
      </c>
      <c r="X83" s="586">
        <f>SUM('QTD P&amp;L'!X79:AA79)</f>
        <v>914</v>
      </c>
      <c r="Y83" s="586">
        <f>SUM('QTD P&amp;L'!Y79:AB79)</f>
        <v>870</v>
      </c>
      <c r="Z83" s="586">
        <f>SUM('QTD P&amp;L'!Z79:AC79)</f>
        <v>952</v>
      </c>
      <c r="AA83" s="586">
        <v>1034</v>
      </c>
      <c r="AB83" s="586">
        <f>SUM('QTD P&amp;L'!AB79:AE79)</f>
        <v>1013</v>
      </c>
      <c r="AC83" s="586">
        <f>SUM('QTD P&amp;L'!AC79:AF79)</f>
        <v>1061</v>
      </c>
      <c r="AD83" s="586">
        <f>SUM('QTD P&amp;L'!AD79:AG79)</f>
        <v>1047</v>
      </c>
      <c r="AE83" s="394"/>
      <c r="AF83" s="675"/>
      <c r="AG83" s="394"/>
    </row>
    <row r="84" spans="1:33" ht="9.75" customHeight="1">
      <c r="A84" s="9"/>
      <c r="B84" s="25"/>
      <c r="C84" s="9"/>
      <c r="D84" s="9"/>
      <c r="E84" s="486"/>
      <c r="F84" s="17"/>
      <c r="G84" s="486"/>
      <c r="H84" s="486"/>
      <c r="I84" s="486"/>
      <c r="J84" s="17"/>
      <c r="K84" s="486"/>
      <c r="L84" s="486"/>
      <c r="M84" s="486"/>
      <c r="N84" s="17"/>
      <c r="O84" s="17"/>
      <c r="P84" s="17"/>
      <c r="Q84" s="17"/>
      <c r="R84" s="17"/>
      <c r="S84" s="17"/>
      <c r="T84" s="17"/>
      <c r="U84" s="17"/>
      <c r="V84" s="17"/>
      <c r="W84" s="17"/>
      <c r="X84" s="17"/>
      <c r="Y84" s="17"/>
      <c r="Z84" s="17"/>
      <c r="AA84" s="17"/>
      <c r="AB84" s="17"/>
      <c r="AC84" s="17"/>
      <c r="AD84" s="17"/>
      <c r="AF84" s="675"/>
    </row>
    <row r="85" spans="1:33" s="51" customFormat="1" ht="12.75">
      <c r="A85" s="59"/>
      <c r="B85" s="60" t="s">
        <v>152</v>
      </c>
      <c r="C85" s="60"/>
      <c r="D85" s="60"/>
      <c r="E85" s="487"/>
      <c r="F85" s="61"/>
      <c r="G85" s="487"/>
      <c r="H85" s="487"/>
      <c r="I85" s="487"/>
      <c r="J85" s="61"/>
      <c r="K85" s="487"/>
      <c r="L85" s="487"/>
      <c r="M85" s="487"/>
      <c r="N85" s="61"/>
      <c r="O85" s="61"/>
      <c r="P85" s="61"/>
      <c r="Q85" s="61"/>
      <c r="R85" s="61"/>
      <c r="S85" s="61"/>
      <c r="T85" s="61"/>
      <c r="U85" s="61"/>
      <c r="V85" s="61"/>
      <c r="W85" s="61"/>
      <c r="X85" s="61"/>
      <c r="Y85" s="61"/>
      <c r="Z85" s="61"/>
      <c r="AA85" s="61"/>
      <c r="AB85" s="61"/>
      <c r="AC85" s="61"/>
      <c r="AD85" s="61"/>
      <c r="AF85" s="674"/>
    </row>
    <row r="86" spans="1:33" s="51" customFormat="1" ht="12.75">
      <c r="A86" s="59"/>
      <c r="B86" s="60"/>
      <c r="C86" s="479" t="s">
        <v>34</v>
      </c>
      <c r="D86" s="60"/>
      <c r="E86" s="63">
        <f>SUM('QTD P&amp;L'!E82:H82)</f>
        <v>0.56000000000000005</v>
      </c>
      <c r="F86" s="63">
        <f>SUM('QTD P&amp;L'!F82:I82)</f>
        <v>0.53</v>
      </c>
      <c r="G86" s="63">
        <v>0.7</v>
      </c>
      <c r="H86" s="63">
        <f>SUM('QTD P&amp;L'!H82:K82)</f>
        <v>0.72</v>
      </c>
      <c r="I86" s="63">
        <f>SUM('QTD P&amp;L'!I82:L82)</f>
        <v>0.69</v>
      </c>
      <c r="J86" s="63">
        <f>SUM('QTD P&amp;L'!J82:M82)</f>
        <v>0.76999999999999991</v>
      </c>
      <c r="K86" s="63">
        <v>0.81</v>
      </c>
      <c r="L86" s="63">
        <f>SUM('QTD P&amp;L'!L82:O82)</f>
        <v>0.85</v>
      </c>
      <c r="M86" s="63">
        <f>SUM('QTD P&amp;L'!M82:P82)</f>
        <v>0.89</v>
      </c>
      <c r="N86" s="63">
        <f>SUM('QTD P&amp;L'!N82:Q82)</f>
        <v>0.84000000000000008</v>
      </c>
      <c r="O86" s="399">
        <v>0.93</v>
      </c>
      <c r="P86" s="63">
        <f>SUM('QTD P&amp;L'!P82:S82)</f>
        <v>0.8600000000000001</v>
      </c>
      <c r="Q86" s="63">
        <f>SUM('QTD P&amp;L'!Q82:T82)</f>
        <v>0.96</v>
      </c>
      <c r="R86" s="63">
        <f>SUM('QTD P&amp;L'!R82:U82)</f>
        <v>1.0399999999999998</v>
      </c>
      <c r="S86" s="63">
        <v>1.19</v>
      </c>
      <c r="T86" s="63">
        <f>SUM('QTD P&amp;L'!T82:W82)</f>
        <v>1.2999999999999998</v>
      </c>
      <c r="U86" s="63">
        <f>SUM('QTD P&amp;L'!U82:X82)</f>
        <v>1.1800000000000002</v>
      </c>
      <c r="V86" s="63">
        <f>SUM('QTD P&amp;L'!V82:Y82)</f>
        <v>1.1100000000000001</v>
      </c>
      <c r="W86" s="63">
        <v>0.95</v>
      </c>
      <c r="X86" s="63">
        <f>SUM('QTD P&amp;L'!X82:AA82)</f>
        <v>1.1600000000000001</v>
      </c>
      <c r="Y86" s="63">
        <f>SUM('QTD P&amp;L'!Y82:AB82)</f>
        <v>1.1400000000000001</v>
      </c>
      <c r="Z86" s="63">
        <f>SUM('QTD P&amp;L'!Z82:AC82)</f>
        <v>1.3</v>
      </c>
      <c r="AA86" s="63">
        <v>1.44</v>
      </c>
      <c r="AB86" s="63">
        <f>SUM('QTD P&amp;L'!AB82:AE82)</f>
        <v>1.41</v>
      </c>
      <c r="AC86" s="63">
        <f>SUM('QTD P&amp;L'!AC82:AF82)</f>
        <v>1.48</v>
      </c>
      <c r="AD86" s="63">
        <f>SUM('QTD P&amp;L'!AD82:AG82)</f>
        <v>1.4499999999999997</v>
      </c>
      <c r="AF86" s="674"/>
    </row>
    <row r="87" spans="1:33" s="51" customFormat="1" ht="12.75">
      <c r="A87" s="59"/>
      <c r="B87" s="60"/>
      <c r="C87" s="479" t="s">
        <v>35</v>
      </c>
      <c r="D87" s="60"/>
      <c r="E87" s="63">
        <f>SUM('QTD P&amp;L'!E83:H83)</f>
        <v>0.54</v>
      </c>
      <c r="F87" s="63">
        <f>SUM('QTD P&amp;L'!F83:I83)</f>
        <v>0.51</v>
      </c>
      <c r="G87" s="63">
        <v>0.69</v>
      </c>
      <c r="H87" s="63">
        <f>SUM('QTD P&amp;L'!H83:K83)</f>
        <v>0.7</v>
      </c>
      <c r="I87" s="63">
        <f>SUM('QTD P&amp;L'!I83:L83)</f>
        <v>0.67999999999999994</v>
      </c>
      <c r="J87" s="63">
        <f>SUM('QTD P&amp;L'!J83:M83)</f>
        <v>0.7599999999999999</v>
      </c>
      <c r="K87" s="63">
        <v>0.79</v>
      </c>
      <c r="L87" s="63">
        <f>SUM('QTD P&amp;L'!L83:O83)</f>
        <v>0.84</v>
      </c>
      <c r="M87" s="63">
        <f>SUM('QTD P&amp;L'!M83:P83)</f>
        <v>0.88</v>
      </c>
      <c r="N87" s="63">
        <f>SUM('QTD P&amp;L'!N83:Q83)</f>
        <v>0.83000000000000007</v>
      </c>
      <c r="O87" s="63">
        <v>0.93</v>
      </c>
      <c r="P87" s="63">
        <f>SUM('QTD P&amp;L'!P83:S83)</f>
        <v>0.85000000000000009</v>
      </c>
      <c r="Q87" s="63">
        <f>SUM('QTD P&amp;L'!Q83:T83)</f>
        <v>0.95</v>
      </c>
      <c r="R87" s="63">
        <f>SUM('QTD P&amp;L'!R83:U83)</f>
        <v>1.0299999999999998</v>
      </c>
      <c r="S87" s="63">
        <v>1.18</v>
      </c>
      <c r="T87" s="63">
        <f>SUM('QTD P&amp;L'!T83:W83)</f>
        <v>1.2999999999999998</v>
      </c>
      <c r="U87" s="63">
        <f>SUM('QTD P&amp;L'!U83:X83)</f>
        <v>1.1800000000000002</v>
      </c>
      <c r="V87" s="63">
        <f>SUM('QTD P&amp;L'!V83:Y83)</f>
        <v>1.1100000000000001</v>
      </c>
      <c r="W87" s="63">
        <v>0.94</v>
      </c>
      <c r="X87" s="63">
        <f>SUM('QTD P&amp;L'!X83:AA83)</f>
        <v>1.1400000000000001</v>
      </c>
      <c r="Y87" s="63">
        <f>SUM('QTD P&amp;L'!Y83:AB83)</f>
        <v>1.1200000000000001</v>
      </c>
      <c r="Z87" s="63">
        <f>SUM('QTD P&amp;L'!Z83:AC83)</f>
        <v>1.27</v>
      </c>
      <c r="AA87" s="63">
        <v>1.42</v>
      </c>
      <c r="AB87" s="63">
        <f>SUM('QTD P&amp;L'!AB83:AE83)</f>
        <v>1.39</v>
      </c>
      <c r="AC87" s="63">
        <f>SUM('QTD P&amp;L'!AC83:AF83)</f>
        <v>1.46</v>
      </c>
      <c r="AD87" s="63">
        <f>SUM('QTD P&amp;L'!AD83:AG83)</f>
        <v>1.44</v>
      </c>
      <c r="AF87" s="674"/>
    </row>
    <row r="88" spans="1:33" s="51" customFormat="1" ht="3" customHeight="1">
      <c r="A88" s="59"/>
      <c r="B88" s="60"/>
      <c r="C88" s="62"/>
      <c r="D88" s="60"/>
      <c r="E88" s="67"/>
      <c r="F88" s="67"/>
      <c r="G88" s="67"/>
      <c r="H88" s="67"/>
      <c r="I88" s="67"/>
      <c r="J88" s="67"/>
      <c r="K88" s="67"/>
      <c r="L88" s="67"/>
      <c r="M88" s="456"/>
      <c r="N88" s="456"/>
      <c r="O88" s="456"/>
      <c r="P88" s="456"/>
      <c r="Q88" s="456"/>
      <c r="R88" s="456"/>
      <c r="S88" s="456"/>
      <c r="T88" s="456"/>
      <c r="U88" s="456"/>
      <c r="V88" s="456"/>
      <c r="W88" s="456"/>
      <c r="X88" s="456"/>
      <c r="Y88" s="456"/>
      <c r="Z88" s="456"/>
      <c r="AA88" s="456"/>
      <c r="AB88" s="456"/>
      <c r="AC88" s="456"/>
      <c r="AD88" s="456"/>
      <c r="AF88" s="674"/>
    </row>
    <row r="89" spans="1:33" s="51" customFormat="1">
      <c r="A89" s="59"/>
      <c r="B89" s="64" t="s">
        <v>33</v>
      </c>
      <c r="C89" s="59"/>
      <c r="D89" s="60"/>
      <c r="E89" s="488"/>
      <c r="G89" s="488"/>
      <c r="H89" s="488"/>
      <c r="I89" s="488"/>
      <c r="K89" s="488"/>
      <c r="L89" s="488"/>
      <c r="M89" s="455"/>
      <c r="N89" s="455"/>
      <c r="O89" s="455"/>
      <c r="P89" s="455"/>
      <c r="Q89" s="455"/>
      <c r="R89" s="455"/>
      <c r="S89" s="455"/>
      <c r="T89" s="455"/>
      <c r="U89" s="455"/>
      <c r="V89" s="455"/>
      <c r="W89" s="455"/>
      <c r="X89" s="455"/>
      <c r="Y89" s="455"/>
      <c r="Z89" s="455"/>
      <c r="AA89" s="455"/>
      <c r="AB89" s="455"/>
      <c r="AC89" s="455"/>
      <c r="AD89" s="455"/>
      <c r="AF89" s="674"/>
    </row>
    <row r="90" spans="1:33" s="51" customFormat="1" ht="12.75">
      <c r="A90" s="59"/>
      <c r="B90" s="60"/>
      <c r="C90" s="62" t="s">
        <v>34</v>
      </c>
      <c r="D90" s="60"/>
      <c r="E90" s="65">
        <f>AVERAGE('QTD P&amp;L'!E86:H86)</f>
        <v>1298.5</v>
      </c>
      <c r="F90" s="65">
        <f>AVERAGE('QTD P&amp;L'!F86:I86)</f>
        <v>1298.5</v>
      </c>
      <c r="G90" s="65">
        <v>1283</v>
      </c>
      <c r="H90" s="65">
        <f>AVERAGE('QTD P&amp;L'!H86:K86)</f>
        <v>1268.25</v>
      </c>
      <c r="I90" s="65">
        <f>AVERAGE('QTD P&amp;L'!I86:L86)</f>
        <v>1254</v>
      </c>
      <c r="J90" s="65">
        <f>AVERAGE('QTD P&amp;L'!J86:M86)</f>
        <v>1239.25</v>
      </c>
      <c r="K90" s="65">
        <v>1222</v>
      </c>
      <c r="L90" s="65">
        <f>AVERAGE('QTD P&amp;L'!L86:O86)</f>
        <v>1203.75</v>
      </c>
      <c r="M90" s="65">
        <f>AVERAGE('QTD P&amp;L'!M86:P86)</f>
        <v>1181</v>
      </c>
      <c r="N90" s="65">
        <f>AVERAGE('QTD P&amp;L'!N86:Q86)</f>
        <v>1163</v>
      </c>
      <c r="O90" s="65">
        <v>1148</v>
      </c>
      <c r="P90" s="65">
        <f>AVERAGE('QTD P&amp;L'!P86:S86)</f>
        <v>1135</v>
      </c>
      <c r="Q90" s="65">
        <f>AVERAGE('QTD P&amp;L'!Q86:T86)</f>
        <v>1127</v>
      </c>
      <c r="R90" s="65">
        <f>AVERAGE('QTD P&amp;L'!R86:U86)</f>
        <v>1119.25</v>
      </c>
      <c r="S90" s="65">
        <v>1112</v>
      </c>
      <c r="T90" s="65">
        <f>AVERAGE('QTD P&amp;L'!T86:W86)</f>
        <v>1110.5</v>
      </c>
      <c r="U90" s="65">
        <f>AVERAGE('QTD P&amp;L'!U86:X86)</f>
        <v>1112.75</v>
      </c>
      <c r="V90" s="65">
        <f>AVERAGE('QTD P&amp;L'!V86:Y86)</f>
        <v>1116</v>
      </c>
      <c r="W90" s="65">
        <v>1024</v>
      </c>
      <c r="X90" s="65">
        <f>AVERAGE('QTD P&amp;L'!X86:AA86)</f>
        <v>923.5</v>
      </c>
      <c r="Y90" s="65">
        <f>AVERAGE('QTD P&amp;L'!Y86:AB86)</f>
        <v>823</v>
      </c>
      <c r="Z90" s="65">
        <f>AVERAGE('QTD P&amp;L'!Z86:AC86)</f>
        <v>722</v>
      </c>
      <c r="AA90" s="65">
        <v>716</v>
      </c>
      <c r="AB90" s="65">
        <f>AVERAGE('QTD P&amp;L'!AB86:AE86)</f>
        <v>719.25</v>
      </c>
      <c r="AC90" s="65">
        <f>AVERAGE('QTD P&amp;L'!AC86:AF86)</f>
        <v>722</v>
      </c>
      <c r="AD90" s="65">
        <f>AVERAGE('QTD P&amp;L'!AD86:AG86)</f>
        <v>725</v>
      </c>
      <c r="AF90" s="674"/>
    </row>
    <row r="91" spans="1:33" s="51" customFormat="1" ht="12.75">
      <c r="A91" s="59"/>
      <c r="B91" s="60"/>
      <c r="C91" s="62" t="s">
        <v>35</v>
      </c>
      <c r="D91" s="60"/>
      <c r="E91" s="65">
        <f>AVERAGE('QTD P&amp;L'!E87:H87)</f>
        <v>1322</v>
      </c>
      <c r="F91" s="65">
        <f>AVERAGE('QTD P&amp;L'!F87:I87)</f>
        <v>1328.5</v>
      </c>
      <c r="G91" s="65">
        <v>1311</v>
      </c>
      <c r="H91" s="65">
        <f>AVERAGE('QTD P&amp;L'!H87:K87)</f>
        <v>1289.5</v>
      </c>
      <c r="I91" s="65">
        <f>AVERAGE('QTD P&amp;L'!I87:L87)</f>
        <v>1268.5</v>
      </c>
      <c r="J91" s="65">
        <f>AVERAGE('QTD P&amp;L'!J87:M87)</f>
        <v>1251</v>
      </c>
      <c r="K91" s="65">
        <v>1236</v>
      </c>
      <c r="L91" s="65">
        <f>AVERAGE('QTD P&amp;L'!L87:O87)</f>
        <v>1213.75</v>
      </c>
      <c r="M91" s="65">
        <f>AVERAGE('QTD P&amp;L'!M87:P87)</f>
        <v>1189.25</v>
      </c>
      <c r="N91" s="65">
        <f>AVERAGE('QTD P&amp;L'!N87:Q87)</f>
        <v>1169.5</v>
      </c>
      <c r="O91" s="65">
        <v>1156</v>
      </c>
      <c r="P91" s="65">
        <f>AVERAGE('QTD P&amp;L'!P87:S87)</f>
        <v>1143</v>
      </c>
      <c r="Q91" s="65">
        <f>AVERAGE('QTD P&amp;L'!Q87:T87)</f>
        <v>1134.25</v>
      </c>
      <c r="R91" s="65">
        <f>AVERAGE('QTD P&amp;L'!R87:U87)</f>
        <v>1125.75</v>
      </c>
      <c r="S91" s="65">
        <v>1118</v>
      </c>
      <c r="T91" s="65">
        <f>AVERAGE('QTD P&amp;L'!T87:W87)</f>
        <v>1116</v>
      </c>
      <c r="U91" s="65">
        <f>AVERAGE('QTD P&amp;L'!U87:X87)</f>
        <v>1119</v>
      </c>
      <c r="V91" s="65">
        <f>AVERAGE('QTD P&amp;L'!V87:Y87)</f>
        <v>1124</v>
      </c>
      <c r="W91" s="65">
        <v>1035</v>
      </c>
      <c r="X91" s="65">
        <f>AVERAGE('QTD P&amp;L'!X87:AA87)</f>
        <v>934.5</v>
      </c>
      <c r="Y91" s="65">
        <f>AVERAGE('QTD P&amp;L'!Y87:AB87)</f>
        <v>834</v>
      </c>
      <c r="Z91" s="65">
        <f>AVERAGE('QTD P&amp;L'!Z87:AC87)</f>
        <v>732.5</v>
      </c>
      <c r="AA91" s="65">
        <v>726</v>
      </c>
      <c r="AB91" s="65">
        <f>AVERAGE('QTD P&amp;L'!AB87:AE87)</f>
        <v>728.25</v>
      </c>
      <c r="AC91" s="65">
        <f>AVERAGE('QTD P&amp;L'!AC87:AF87)</f>
        <v>730.75</v>
      </c>
      <c r="AD91" s="65">
        <f>AVERAGE('QTD P&amp;L'!AD87:AG87)</f>
        <v>733.5</v>
      </c>
      <c r="AF91" s="674"/>
    </row>
    <row r="92" spans="1:33" s="51" customFormat="1">
      <c r="A92" s="59"/>
      <c r="B92" s="60"/>
      <c r="C92" s="18" t="s">
        <v>286</v>
      </c>
      <c r="D92" s="60"/>
      <c r="E92" s="647">
        <f>AVERAGE('QTD P&amp;L'!E88:H88)</f>
        <v>5</v>
      </c>
      <c r="F92" s="647">
        <f>AVERAGE('QTD P&amp;L'!F88:I88)</f>
        <v>7.5</v>
      </c>
      <c r="G92" s="647">
        <v>10</v>
      </c>
      <c r="H92" s="647">
        <f>AVERAGE('QTD P&amp;L'!H88:K88)</f>
        <v>10.5</v>
      </c>
      <c r="I92" s="647">
        <f>AVERAGE('QTD P&amp;L'!I88:L88)</f>
        <v>10.5</v>
      </c>
      <c r="J92" s="647">
        <f>AVERAGE('QTD P&amp;L'!J88:M88)</f>
        <v>10.75</v>
      </c>
      <c r="K92" s="647">
        <v>11.75</v>
      </c>
      <c r="L92" s="647">
        <f>AVERAGE('QTD P&amp;L'!L88:O88)</f>
        <v>13.25</v>
      </c>
      <c r="M92" s="647">
        <f>AVERAGE('QTD P&amp;L'!M88:P88)</f>
        <v>15</v>
      </c>
      <c r="N92" s="647">
        <f>AVERAGE('QTD P&amp;L'!N88:Q88)</f>
        <v>16.5</v>
      </c>
      <c r="O92" s="647">
        <v>17</v>
      </c>
      <c r="P92" s="647">
        <f>AVERAGE('QTD P&amp;L'!P88:S88)</f>
        <v>17.5</v>
      </c>
      <c r="Q92" s="647">
        <f>AVERAGE('QTD P&amp;L'!Q88:T88)</f>
        <v>19.25</v>
      </c>
      <c r="R92" s="647">
        <f>AVERAGE('QTD P&amp;L'!R88:U88)</f>
        <v>21.75</v>
      </c>
      <c r="S92" s="647">
        <v>24.25</v>
      </c>
      <c r="T92" s="647">
        <f>AVERAGE('QTD P&amp;L'!T88:W88)</f>
        <v>26</v>
      </c>
      <c r="U92" s="647">
        <f>AVERAGE('QTD P&amp;L'!U88:X88)</f>
        <v>26</v>
      </c>
      <c r="V92" s="647">
        <f>AVERAGE('QTD P&amp;L'!V88:Y88)</f>
        <v>25.25</v>
      </c>
      <c r="W92" s="647">
        <v>24</v>
      </c>
      <c r="X92" s="647">
        <f>AVERAGE('QTD P&amp;L'!X88:AA88)</f>
        <v>22</v>
      </c>
      <c r="Y92" s="647">
        <f>AVERAGE('QTD P&amp;L'!Y88:AB88)</f>
        <v>20</v>
      </c>
      <c r="Z92" s="647">
        <f>AVERAGE('QTD P&amp;L'!Z88:AC88)</f>
        <v>17.5</v>
      </c>
      <c r="AA92" s="647">
        <v>15</v>
      </c>
      <c r="AB92" s="647">
        <f>AVERAGE('QTD P&amp;L'!AB88:AE88)</f>
        <v>13</v>
      </c>
      <c r="AC92" s="647">
        <f>AVERAGE('QTD P&amp;L'!AC88:AF88)</f>
        <v>11.25</v>
      </c>
      <c r="AD92" s="647">
        <f>AVERAGE('QTD P&amp;L'!AD88:AG88)</f>
        <v>9.75</v>
      </c>
      <c r="AF92" s="674"/>
    </row>
    <row r="93" spans="1:33" s="51" customFormat="1" ht="12.75">
      <c r="A93" s="59"/>
      <c r="B93" s="60"/>
      <c r="C93" s="18" t="s">
        <v>305</v>
      </c>
      <c r="D93" s="60"/>
      <c r="E93" s="65">
        <f>SUM(E91:E92)</f>
        <v>1327</v>
      </c>
      <c r="F93" s="65">
        <f t="shared" ref="F93:Z93" si="188">SUM(F91:F92)</f>
        <v>1336</v>
      </c>
      <c r="G93" s="65">
        <f t="shared" si="188"/>
        <v>1321</v>
      </c>
      <c r="H93" s="65">
        <f t="shared" si="188"/>
        <v>1300</v>
      </c>
      <c r="I93" s="65">
        <f t="shared" si="188"/>
        <v>1279</v>
      </c>
      <c r="J93" s="65">
        <f t="shared" si="188"/>
        <v>1261.75</v>
      </c>
      <c r="K93" s="65">
        <f t="shared" si="188"/>
        <v>1247.75</v>
      </c>
      <c r="L93" s="65">
        <f t="shared" si="188"/>
        <v>1227</v>
      </c>
      <c r="M93" s="65">
        <f t="shared" si="188"/>
        <v>1204.25</v>
      </c>
      <c r="N93" s="65">
        <f t="shared" si="188"/>
        <v>1186</v>
      </c>
      <c r="O93" s="65">
        <f t="shared" si="188"/>
        <v>1173</v>
      </c>
      <c r="P93" s="65">
        <f t="shared" si="188"/>
        <v>1160.5</v>
      </c>
      <c r="Q93" s="65">
        <f t="shared" si="188"/>
        <v>1153.5</v>
      </c>
      <c r="R93" s="65">
        <f t="shared" si="188"/>
        <v>1147.5</v>
      </c>
      <c r="S93" s="65">
        <f t="shared" si="188"/>
        <v>1142.25</v>
      </c>
      <c r="T93" s="65">
        <f t="shared" si="188"/>
        <v>1142</v>
      </c>
      <c r="U93" s="65">
        <f t="shared" si="188"/>
        <v>1145</v>
      </c>
      <c r="V93" s="65">
        <f t="shared" si="188"/>
        <v>1149.25</v>
      </c>
      <c r="W93" s="65">
        <f t="shared" si="188"/>
        <v>1059</v>
      </c>
      <c r="X93" s="65">
        <f t="shared" si="188"/>
        <v>956.5</v>
      </c>
      <c r="Y93" s="65">
        <f t="shared" si="188"/>
        <v>854</v>
      </c>
      <c r="Z93" s="65">
        <f t="shared" si="188"/>
        <v>750</v>
      </c>
      <c r="AA93" s="65">
        <f t="shared" ref="AA93:AB93" si="189">SUM(AA91:AA92)</f>
        <v>741</v>
      </c>
      <c r="AB93" s="65">
        <f t="shared" si="189"/>
        <v>741.25</v>
      </c>
      <c r="AC93" s="65">
        <f t="shared" ref="AC93" si="190">SUM(AC91:AC92)</f>
        <v>742</v>
      </c>
      <c r="AD93" s="65">
        <f>SUM(AD91:AD92)</f>
        <v>743.25</v>
      </c>
      <c r="AF93" s="674"/>
    </row>
    <row r="94" spans="1:33" s="51" customFormat="1" ht="12.75">
      <c r="A94" s="59"/>
      <c r="B94" s="60"/>
      <c r="C94" s="62"/>
      <c r="D94" s="60"/>
      <c r="E94" s="67"/>
      <c r="F94" s="67"/>
      <c r="G94" s="67"/>
      <c r="H94" s="67"/>
      <c r="I94" s="67"/>
      <c r="J94" s="67"/>
      <c r="K94" s="67"/>
      <c r="L94" s="67"/>
      <c r="M94" s="456"/>
      <c r="N94" s="456"/>
      <c r="O94" s="456"/>
      <c r="P94" s="456"/>
      <c r="Q94" s="456"/>
      <c r="R94" s="456"/>
      <c r="S94" s="456"/>
      <c r="T94" s="456"/>
      <c r="U94" s="456"/>
      <c r="V94" s="456"/>
      <c r="W94" s="456"/>
      <c r="X94" s="456"/>
      <c r="Y94" s="456"/>
      <c r="Z94" s="456"/>
      <c r="AA94" s="456"/>
      <c r="AB94" s="456"/>
      <c r="AC94" s="456"/>
      <c r="AD94" s="456"/>
      <c r="AF94" s="674"/>
    </row>
    <row r="95" spans="1:33" ht="12.75">
      <c r="A95" s="20" t="s">
        <v>150</v>
      </c>
      <c r="B95" s="29"/>
      <c r="C95" s="18"/>
      <c r="D95" s="29"/>
      <c r="E95" s="34"/>
      <c r="F95" s="34"/>
      <c r="G95" s="34"/>
      <c r="H95" s="34"/>
      <c r="I95" s="34"/>
      <c r="J95" s="34"/>
      <c r="K95" s="34"/>
      <c r="L95" s="34"/>
      <c r="M95" s="457"/>
      <c r="N95" s="457"/>
      <c r="O95" s="457"/>
      <c r="P95" s="457"/>
      <c r="Q95" s="457"/>
      <c r="R95" s="457"/>
      <c r="S95" s="457"/>
      <c r="T95" s="457"/>
      <c r="U95" s="457"/>
      <c r="V95" s="457"/>
      <c r="W95" s="457"/>
      <c r="X95" s="457"/>
      <c r="Y95" s="457"/>
      <c r="Z95" s="457"/>
      <c r="AA95" s="457"/>
      <c r="AB95" s="457"/>
      <c r="AC95" s="457"/>
      <c r="AD95" s="457"/>
      <c r="AF95" s="674"/>
    </row>
    <row r="96" spans="1:33" ht="12.75">
      <c r="A96" s="32"/>
      <c r="B96" s="29"/>
      <c r="C96" s="18"/>
      <c r="D96" s="29"/>
      <c r="E96" s="19" t="str">
        <f t="shared" ref="E96:M97" si="191">E64</f>
        <v>Q2</v>
      </c>
      <c r="F96" s="19" t="str">
        <f t="shared" si="191"/>
        <v>Q3</v>
      </c>
      <c r="G96" s="19" t="str">
        <f t="shared" si="191"/>
        <v>Q4</v>
      </c>
      <c r="H96" s="19" t="str">
        <f t="shared" si="191"/>
        <v>Q1</v>
      </c>
      <c r="I96" s="19" t="str">
        <f t="shared" si="191"/>
        <v>Q2</v>
      </c>
      <c r="J96" s="19" t="str">
        <f t="shared" si="191"/>
        <v>Q3</v>
      </c>
      <c r="K96" s="19" t="str">
        <f t="shared" si="191"/>
        <v>Q4</v>
      </c>
      <c r="L96" s="19" t="str">
        <f t="shared" si="191"/>
        <v>Q1</v>
      </c>
      <c r="M96" s="19" t="str">
        <f t="shared" si="191"/>
        <v>Q2</v>
      </c>
      <c r="N96" s="19" t="str">
        <f t="shared" ref="N96:O97" si="192">N64</f>
        <v>Q3</v>
      </c>
      <c r="O96" s="19" t="str">
        <f t="shared" si="192"/>
        <v>Q4</v>
      </c>
      <c r="P96" s="19" t="str">
        <f t="shared" ref="P96:Q97" si="193">P64</f>
        <v>Q1</v>
      </c>
      <c r="Q96" s="19" t="str">
        <f t="shared" si="193"/>
        <v>Q2</v>
      </c>
      <c r="R96" s="19" t="str">
        <f t="shared" ref="R96:S96" si="194">R64</f>
        <v>Q3</v>
      </c>
      <c r="S96" s="19" t="str">
        <f t="shared" si="194"/>
        <v>Q4</v>
      </c>
      <c r="T96" s="19" t="str">
        <f t="shared" ref="T96:U96" si="195">T64</f>
        <v>Q1</v>
      </c>
      <c r="U96" s="19" t="str">
        <f t="shared" si="195"/>
        <v>Q2</v>
      </c>
      <c r="V96" s="19" t="str">
        <f t="shared" ref="V96:W96" si="196">V64</f>
        <v>Q3</v>
      </c>
      <c r="W96" s="19" t="str">
        <f t="shared" si="196"/>
        <v>Q4</v>
      </c>
      <c r="X96" s="19" t="str">
        <f t="shared" ref="X96:Y96" si="197">X64</f>
        <v>Q1</v>
      </c>
      <c r="Y96" s="19" t="str">
        <f t="shared" si="197"/>
        <v>Q2</v>
      </c>
      <c r="Z96" s="19" t="str">
        <f t="shared" ref="Z96:AA96" si="198">Z64</f>
        <v>Q3</v>
      </c>
      <c r="AA96" s="19" t="str">
        <f t="shared" si="198"/>
        <v>Q4</v>
      </c>
      <c r="AB96" s="19" t="str">
        <f t="shared" ref="AB96:AC96" si="199">AB64</f>
        <v>Q1</v>
      </c>
      <c r="AC96" s="19" t="str">
        <f t="shared" si="199"/>
        <v>Q2</v>
      </c>
      <c r="AD96" s="19" t="str">
        <f t="shared" ref="AD96" si="200">AD64</f>
        <v>Q3</v>
      </c>
      <c r="AF96" s="674"/>
    </row>
    <row r="97" spans="1:32" ht="12.75">
      <c r="A97" s="452"/>
      <c r="B97" s="452"/>
      <c r="C97" s="452"/>
      <c r="D97" s="452"/>
      <c r="E97" s="19" t="str">
        <f t="shared" si="191"/>
        <v>CY09</v>
      </c>
      <c r="F97" s="19" t="str">
        <f t="shared" si="191"/>
        <v>CY09</v>
      </c>
      <c r="G97" s="19" t="str">
        <f t="shared" si="191"/>
        <v>CY09</v>
      </c>
      <c r="H97" s="19" t="str">
        <f t="shared" si="191"/>
        <v>CY10</v>
      </c>
      <c r="I97" s="19" t="str">
        <f t="shared" si="191"/>
        <v>CY10</v>
      </c>
      <c r="J97" s="19" t="str">
        <f t="shared" si="191"/>
        <v>CY10</v>
      </c>
      <c r="K97" s="19" t="str">
        <f t="shared" si="191"/>
        <v>CY10</v>
      </c>
      <c r="L97" s="19" t="str">
        <f t="shared" si="191"/>
        <v>CY11</v>
      </c>
      <c r="M97" s="19" t="str">
        <f t="shared" si="191"/>
        <v>CY11</v>
      </c>
      <c r="N97" s="19" t="str">
        <f t="shared" si="192"/>
        <v>CY11</v>
      </c>
      <c r="O97" s="19" t="str">
        <f t="shared" si="192"/>
        <v>CY11</v>
      </c>
      <c r="P97" s="19" t="str">
        <f t="shared" si="193"/>
        <v>CY12</v>
      </c>
      <c r="Q97" s="19" t="str">
        <f t="shared" si="193"/>
        <v>CY12</v>
      </c>
      <c r="R97" s="19" t="str">
        <f t="shared" ref="R97:S97" si="201">R65</f>
        <v>CY12</v>
      </c>
      <c r="S97" s="19" t="str">
        <f t="shared" si="201"/>
        <v>CY12</v>
      </c>
      <c r="T97" s="19" t="str">
        <f t="shared" ref="T97:U97" si="202">T65</f>
        <v>CY13</v>
      </c>
      <c r="U97" s="19" t="str">
        <f t="shared" si="202"/>
        <v>CY13</v>
      </c>
      <c r="V97" s="19" t="str">
        <f t="shared" ref="V97:W97" si="203">V65</f>
        <v>CY13</v>
      </c>
      <c r="W97" s="19" t="str">
        <f t="shared" si="203"/>
        <v>CY13</v>
      </c>
      <c r="X97" s="19" t="str">
        <f t="shared" ref="X97:Y97" si="204">X65</f>
        <v>CY14</v>
      </c>
      <c r="Y97" s="19" t="str">
        <f t="shared" si="204"/>
        <v>CY14</v>
      </c>
      <c r="Z97" s="19" t="str">
        <f t="shared" ref="Z97:AA97" si="205">Z65</f>
        <v>CY14</v>
      </c>
      <c r="AA97" s="19" t="str">
        <f t="shared" si="205"/>
        <v>CY14</v>
      </c>
      <c r="AB97" s="19" t="str">
        <f t="shared" ref="AB97:AC97" si="206">AB65</f>
        <v>CY15</v>
      </c>
      <c r="AC97" s="19" t="str">
        <f t="shared" si="206"/>
        <v>CY15</v>
      </c>
      <c r="AD97" s="19" t="str">
        <f t="shared" ref="AD97" si="207">AD65</f>
        <v>CY15</v>
      </c>
      <c r="AF97" s="674"/>
    </row>
    <row r="98" spans="1:32" ht="12.75">
      <c r="A98" s="32"/>
      <c r="B98" s="29"/>
      <c r="C98" s="18"/>
      <c r="D98" s="29"/>
      <c r="E98" s="45" t="str">
        <f t="shared" ref="E98:M98" si="208">E66</f>
        <v>TTM</v>
      </c>
      <c r="F98" s="45" t="str">
        <f t="shared" si="208"/>
        <v>TTM</v>
      </c>
      <c r="G98" s="45" t="str">
        <f t="shared" si="208"/>
        <v>TTM</v>
      </c>
      <c r="H98" s="45" t="str">
        <f t="shared" si="208"/>
        <v>TTM</v>
      </c>
      <c r="I98" s="45" t="str">
        <f t="shared" si="208"/>
        <v>TTM</v>
      </c>
      <c r="J98" s="45" t="str">
        <f t="shared" si="208"/>
        <v>TTM</v>
      </c>
      <c r="K98" s="45" t="str">
        <f t="shared" si="208"/>
        <v>TTM</v>
      </c>
      <c r="L98" s="45" t="str">
        <f t="shared" si="208"/>
        <v>TTM</v>
      </c>
      <c r="M98" s="45" t="str">
        <f t="shared" si="208"/>
        <v>TTM</v>
      </c>
      <c r="N98" s="45" t="str">
        <f t="shared" ref="N98:O98" si="209">N66</f>
        <v>TTM</v>
      </c>
      <c r="O98" s="45" t="str">
        <f t="shared" si="209"/>
        <v>TTM</v>
      </c>
      <c r="P98" s="45" t="str">
        <f t="shared" ref="P98:Q98" si="210">P66</f>
        <v>TTM</v>
      </c>
      <c r="Q98" s="45" t="str">
        <f t="shared" si="210"/>
        <v>TTM</v>
      </c>
      <c r="R98" s="45" t="str">
        <f t="shared" ref="R98:S98" si="211">R66</f>
        <v>TTM</v>
      </c>
      <c r="S98" s="45" t="str">
        <f t="shared" si="211"/>
        <v>TTM</v>
      </c>
      <c r="T98" s="45" t="str">
        <f t="shared" ref="T98:U98" si="212">T66</f>
        <v>TTM</v>
      </c>
      <c r="U98" s="45" t="str">
        <f t="shared" si="212"/>
        <v>TTM</v>
      </c>
      <c r="V98" s="45" t="str">
        <f t="shared" ref="V98:W98" si="213">V66</f>
        <v>TTM</v>
      </c>
      <c r="W98" s="45" t="str">
        <f t="shared" si="213"/>
        <v>TTM</v>
      </c>
      <c r="X98" s="45" t="str">
        <f t="shared" ref="X98:Y98" si="214">X66</f>
        <v>TTM</v>
      </c>
      <c r="Y98" s="45" t="str">
        <f t="shared" si="214"/>
        <v>TTM</v>
      </c>
      <c r="Z98" s="45" t="str">
        <f t="shared" ref="Z98:AA98" si="215">Z66</f>
        <v>TTM</v>
      </c>
      <c r="AA98" s="45" t="str">
        <f t="shared" si="215"/>
        <v>TTM</v>
      </c>
      <c r="AB98" s="45" t="str">
        <f t="shared" ref="AB98:AC98" si="216">AB66</f>
        <v>TTM</v>
      </c>
      <c r="AC98" s="45" t="str">
        <f t="shared" si="216"/>
        <v>TTM</v>
      </c>
      <c r="AD98" s="45" t="str">
        <f t="shared" ref="AD98" si="217">AD66</f>
        <v>TTM</v>
      </c>
      <c r="AF98" s="674"/>
    </row>
    <row r="99" spans="1:32" ht="12.75">
      <c r="A99" s="32"/>
      <c r="B99" s="29"/>
      <c r="C99" s="18"/>
      <c r="D99" s="29"/>
      <c r="E99" s="34"/>
      <c r="F99" s="34"/>
      <c r="G99" s="34"/>
      <c r="H99" s="34"/>
      <c r="I99" s="34"/>
      <c r="J99" s="34"/>
      <c r="K99" s="34"/>
      <c r="L99" s="34"/>
      <c r="M99" s="18"/>
      <c r="N99" s="18"/>
      <c r="O99" s="18"/>
      <c r="P99" s="18"/>
      <c r="Q99" s="18"/>
      <c r="R99" s="18"/>
      <c r="S99" s="18"/>
      <c r="T99" s="18"/>
      <c r="U99" s="18"/>
      <c r="V99" s="18"/>
      <c r="W99" s="18"/>
      <c r="X99" s="18"/>
      <c r="Y99" s="18"/>
      <c r="Z99" s="18"/>
      <c r="AA99" s="18"/>
      <c r="AB99" s="18"/>
      <c r="AC99" s="18"/>
      <c r="AD99" s="18"/>
      <c r="AF99" s="674"/>
    </row>
    <row r="100" spans="1:32" ht="12.75">
      <c r="A100" s="32"/>
      <c r="B100" s="1" t="s">
        <v>203</v>
      </c>
      <c r="C100" s="18"/>
      <c r="D100" s="29"/>
      <c r="E100" s="34"/>
      <c r="F100" s="34"/>
      <c r="G100" s="34"/>
      <c r="H100" s="34"/>
      <c r="I100" s="34"/>
      <c r="J100" s="34"/>
      <c r="K100" s="34"/>
      <c r="L100" s="34"/>
      <c r="M100" s="18"/>
      <c r="N100" s="18"/>
      <c r="O100" s="18"/>
      <c r="P100" s="18"/>
      <c r="Q100" s="18"/>
      <c r="R100" s="18"/>
      <c r="S100" s="18"/>
      <c r="T100" s="18"/>
      <c r="U100" s="18"/>
      <c r="V100" s="18"/>
      <c r="W100" s="18"/>
      <c r="X100" s="18"/>
      <c r="Y100" s="18"/>
      <c r="Z100" s="18"/>
      <c r="AA100" s="18"/>
      <c r="AB100" s="18"/>
      <c r="AC100" s="18"/>
      <c r="AD100" s="18"/>
      <c r="AF100" s="674"/>
    </row>
    <row r="101" spans="1:32" s="48" customFormat="1" ht="12.75">
      <c r="A101" s="10"/>
      <c r="B101" s="2"/>
      <c r="C101" s="2" t="s">
        <v>214</v>
      </c>
      <c r="D101" s="10"/>
      <c r="E101" s="39">
        <f t="shared" ref="E101:M101" si="218">E70/E$68</f>
        <v>0.36597600872410035</v>
      </c>
      <c r="F101" s="39">
        <f t="shared" si="218"/>
        <v>0.34869132597880165</v>
      </c>
      <c r="G101" s="39">
        <f t="shared" si="218"/>
        <v>0.32293193717277485</v>
      </c>
      <c r="H101" s="39">
        <f t="shared" si="218"/>
        <v>0.3162644281217209</v>
      </c>
      <c r="I101" s="39">
        <f t="shared" si="218"/>
        <v>0.30901656982999787</v>
      </c>
      <c r="J101" s="39">
        <f t="shared" si="218"/>
        <v>0.30069488313329124</v>
      </c>
      <c r="K101" s="39">
        <f t="shared" si="218"/>
        <v>0.28065792213200086</v>
      </c>
      <c r="L101" s="39">
        <f t="shared" si="218"/>
        <v>0.27090646293619658</v>
      </c>
      <c r="M101" s="39">
        <f t="shared" si="218"/>
        <v>0.26363449269396994</v>
      </c>
      <c r="N101" s="39">
        <f t="shared" ref="N101:O113" si="219">N70/N$68</f>
        <v>0.26204363793475915</v>
      </c>
      <c r="O101" s="39">
        <f t="shared" si="219"/>
        <v>0.24972154154600135</v>
      </c>
      <c r="P101" s="39">
        <f t="shared" ref="P101:Q101" si="220">P70/P$68</f>
        <v>0.25248785003471419</v>
      </c>
      <c r="Q101" s="39">
        <f t="shared" si="220"/>
        <v>0.24037639007698888</v>
      </c>
      <c r="R101" s="39">
        <f t="shared" ref="R101:S113" si="221">R70/R$68</f>
        <v>0.236875</v>
      </c>
      <c r="S101" s="39">
        <f t="shared" si="221"/>
        <v>0.22378183276518948</v>
      </c>
      <c r="T101" s="39">
        <f t="shared" ref="T101" si="222">T70/T$68</f>
        <v>0.21579554189085318</v>
      </c>
      <c r="U101" s="39">
        <f t="shared" ref="U101:Z101" si="223">U70/U$68</f>
        <v>0.2221521647751156</v>
      </c>
      <c r="V101" s="39">
        <f t="shared" si="223"/>
        <v>0.22041166380789023</v>
      </c>
      <c r="W101" s="39">
        <f t="shared" si="223"/>
        <v>0.24021188392445877</v>
      </c>
      <c r="X101" s="39">
        <f t="shared" si="223"/>
        <v>0.23833836156880947</v>
      </c>
      <c r="Y101" s="39">
        <f t="shared" si="223"/>
        <v>0.2392750630878642</v>
      </c>
      <c r="Z101" s="39">
        <f t="shared" si="223"/>
        <v>0.2395320197044335</v>
      </c>
      <c r="AA101" s="39">
        <f t="shared" ref="AA101:AB101" si="224">AA70/AA$68</f>
        <v>0.21358819862871389</v>
      </c>
      <c r="AB101" s="39">
        <f t="shared" si="224"/>
        <v>0.20952782462057334</v>
      </c>
      <c r="AC101" s="39">
        <f>AC70/AC$68</f>
        <v>0.20082559339525283</v>
      </c>
      <c r="AD101" s="39">
        <f>AD70/AD$68</f>
        <v>0.19915164369034993</v>
      </c>
      <c r="AF101" s="674"/>
    </row>
    <row r="102" spans="1:32" s="48" customFormat="1" ht="12.75">
      <c r="A102" s="10"/>
      <c r="B102" s="2"/>
      <c r="C102" s="2" t="s">
        <v>313</v>
      </c>
      <c r="D102" s="10"/>
      <c r="E102" s="39">
        <f t="shared" ref="E102:M102" si="225">E71/E$68</f>
        <v>4.3402399127589968E-2</v>
      </c>
      <c r="F102" s="39">
        <f t="shared" si="225"/>
        <v>4.5641358425264983E-2</v>
      </c>
      <c r="G102" s="39">
        <f t="shared" si="225"/>
        <v>4.4397905759162304E-2</v>
      </c>
      <c r="H102" s="39">
        <f t="shared" si="225"/>
        <v>4.5750262329485834E-2</v>
      </c>
      <c r="I102" s="39">
        <f t="shared" si="225"/>
        <v>4.7772756617172368E-2</v>
      </c>
      <c r="J102" s="39">
        <f t="shared" si="225"/>
        <v>4.8641819330385347E-2</v>
      </c>
      <c r="K102" s="39">
        <f t="shared" si="225"/>
        <v>5.2050801582344368E-2</v>
      </c>
      <c r="L102" s="39">
        <f t="shared" si="225"/>
        <v>5.3892215568862277E-2</v>
      </c>
      <c r="M102" s="39">
        <f t="shared" si="225"/>
        <v>5.515538176579543E-2</v>
      </c>
      <c r="N102" s="39">
        <f t="shared" si="219"/>
        <v>5.7679844458846406E-2</v>
      </c>
      <c r="O102" s="39">
        <f t="shared" si="219"/>
        <v>5.6805524615727333E-2</v>
      </c>
      <c r="P102" s="39">
        <f t="shared" ref="P102:Q102" si="226">P71/P$68</f>
        <v>5.9939828743346447E-2</v>
      </c>
      <c r="Q102" s="39">
        <f t="shared" si="226"/>
        <v>5.731394354148845E-2</v>
      </c>
      <c r="R102" s="39">
        <f t="shared" si="221"/>
        <v>5.5625000000000001E-2</v>
      </c>
      <c r="S102" s="39">
        <f t="shared" si="221"/>
        <v>5.2937637858431925E-2</v>
      </c>
      <c r="T102" s="39">
        <f t="shared" ref="T102:U102" si="227">T71/T$68</f>
        <v>4.8039969254419675E-2</v>
      </c>
      <c r="U102" s="39">
        <f t="shared" si="227"/>
        <v>4.8970155527532575E-2</v>
      </c>
      <c r="V102" s="39">
        <f t="shared" ref="V102:W102" si="228">V71/V$68</f>
        <v>4.5883361921097772E-2</v>
      </c>
      <c r="W102" s="39">
        <f t="shared" si="228"/>
        <v>4.6982957162597878E-2</v>
      </c>
      <c r="X102" s="39">
        <f t="shared" ref="X102:Y102" si="229">X71/X$68</f>
        <v>4.7574843351125551E-2</v>
      </c>
      <c r="Y102" s="39">
        <f t="shared" si="229"/>
        <v>4.7487955953200274E-2</v>
      </c>
      <c r="Z102" s="39">
        <f t="shared" ref="Z102:AA102" si="230">Z71/Z$68</f>
        <v>4.5155993431855501E-2</v>
      </c>
      <c r="AA102" s="39">
        <f t="shared" si="230"/>
        <v>4.7995013505090382E-2</v>
      </c>
      <c r="AB102" s="39">
        <f t="shared" ref="AB102:AC102" si="231">AB71/AB$68</f>
        <v>4.7639123102866776E-2</v>
      </c>
      <c r="AC102" s="39">
        <f t="shared" si="231"/>
        <v>4.6026831785345716E-2</v>
      </c>
      <c r="AD102" s="39">
        <f t="shared" ref="AD102" si="232">AD71/AD$68</f>
        <v>4.7083775185577943E-2</v>
      </c>
      <c r="AF102" s="674"/>
    </row>
    <row r="103" spans="1:32" s="48" customFormat="1" ht="12.75">
      <c r="A103" s="10"/>
      <c r="B103" s="2"/>
      <c r="C103" s="2" t="s">
        <v>212</v>
      </c>
      <c r="D103" s="10"/>
      <c r="E103" s="39">
        <f t="shared" ref="E103:M103" si="233">E72/E$68</f>
        <v>5.5398037077426389E-2</v>
      </c>
      <c r="F103" s="39">
        <f t="shared" si="233"/>
        <v>6.5541855937702787E-2</v>
      </c>
      <c r="G103" s="39">
        <f t="shared" si="233"/>
        <v>5.1099476439790577E-2</v>
      </c>
      <c r="H103" s="39">
        <f t="shared" si="233"/>
        <v>5.1626442812172088E-2</v>
      </c>
      <c r="I103" s="39">
        <f t="shared" si="233"/>
        <v>5.6380460512158379E-2</v>
      </c>
      <c r="J103" s="39">
        <f t="shared" si="233"/>
        <v>5.0747525794904193E-2</v>
      </c>
      <c r="K103" s="39">
        <f t="shared" si="233"/>
        <v>5.9754320216531334E-2</v>
      </c>
      <c r="L103" s="39">
        <f t="shared" si="233"/>
        <v>5.6370018583522613E-2</v>
      </c>
      <c r="M103" s="39">
        <f t="shared" si="233"/>
        <v>4.7952253550113191E-2</v>
      </c>
      <c r="N103" s="39">
        <f t="shared" si="219"/>
        <v>4.1909699719161808E-2</v>
      </c>
      <c r="O103" s="39">
        <f t="shared" si="219"/>
        <v>3.5419915348629982E-2</v>
      </c>
      <c r="P103" s="39">
        <f t="shared" ref="P103:Q103" si="234">P72/P$68</f>
        <v>3.5871326081925482E-2</v>
      </c>
      <c r="Q103" s="39">
        <f t="shared" si="234"/>
        <v>4.2130025662959793E-2</v>
      </c>
      <c r="R103" s="39">
        <f t="shared" si="221"/>
        <v>4.6666666666666669E-2</v>
      </c>
      <c r="S103" s="39">
        <f t="shared" si="221"/>
        <v>4.4315219570884301E-2</v>
      </c>
      <c r="T103" s="39">
        <f t="shared" ref="T103:U103" si="235">T72/T$68</f>
        <v>4.4773251345119142E-2</v>
      </c>
      <c r="U103" s="39">
        <f t="shared" si="235"/>
        <v>3.9512400168137875E-2</v>
      </c>
      <c r="V103" s="39">
        <f t="shared" ref="V103:W103" si="236">V72/V$68</f>
        <v>3.4090909090909088E-2</v>
      </c>
      <c r="W103" s="39">
        <f t="shared" si="236"/>
        <v>3.9613081529249194E-2</v>
      </c>
      <c r="X103" s="39">
        <f t="shared" ref="X103:Y103" si="237">X72/X$68</f>
        <v>4.0612671153399858E-2</v>
      </c>
      <c r="Y103" s="39">
        <f t="shared" si="237"/>
        <v>4.2211516402844686E-2</v>
      </c>
      <c r="Z103" s="39">
        <f t="shared" ref="Z103:AA103" si="238">Z72/Z$68</f>
        <v>7.430213464696224E-2</v>
      </c>
      <c r="AA103" s="39">
        <f t="shared" si="238"/>
        <v>8.3939330978599624E-2</v>
      </c>
      <c r="AB103" s="39">
        <f t="shared" ref="AB103:AC103" si="239">AB72/AB$68</f>
        <v>8.916526138279933E-2</v>
      </c>
      <c r="AC103" s="39">
        <f t="shared" si="239"/>
        <v>9.1228070175438603E-2</v>
      </c>
      <c r="AD103" s="39">
        <f t="shared" ref="AD103" si="240">AD72/AD$68</f>
        <v>7.3382820784729588E-2</v>
      </c>
      <c r="AF103" s="674"/>
    </row>
    <row r="104" spans="1:32" s="48" customFormat="1" ht="12.75">
      <c r="A104" s="10"/>
      <c r="B104" s="2"/>
      <c r="C104" s="2" t="s">
        <v>213</v>
      </c>
      <c r="D104" s="10"/>
      <c r="E104" s="39">
        <f t="shared" ref="E104:M104" si="241">E73/E$68</f>
        <v>3.162486368593239E-2</v>
      </c>
      <c r="F104" s="39">
        <f t="shared" si="241"/>
        <v>3.3960631624486266E-2</v>
      </c>
      <c r="G104" s="39">
        <f t="shared" si="241"/>
        <v>2.6596858638743455E-2</v>
      </c>
      <c r="H104" s="39">
        <f t="shared" si="241"/>
        <v>2.4134312696747113E-2</v>
      </c>
      <c r="I104" s="39">
        <f t="shared" si="241"/>
        <v>2.2595222724338282E-2</v>
      </c>
      <c r="J104" s="39">
        <f t="shared" si="241"/>
        <v>2.1899347230996E-2</v>
      </c>
      <c r="K104" s="39">
        <f t="shared" si="241"/>
        <v>2.0820320632937747E-2</v>
      </c>
      <c r="L104" s="39">
        <f t="shared" si="241"/>
        <v>1.858352260995251E-2</v>
      </c>
      <c r="M104" s="39">
        <f t="shared" si="241"/>
        <v>1.7287507717637374E-2</v>
      </c>
      <c r="N104" s="39">
        <f t="shared" si="219"/>
        <v>1.4257939079714841E-2</v>
      </c>
      <c r="O104" s="39">
        <f t="shared" si="219"/>
        <v>1.6039206950323012E-2</v>
      </c>
      <c r="P104" s="39">
        <f t="shared" ref="P104:Q104" si="242">P73/P$68</f>
        <v>1.5505669983800046E-2</v>
      </c>
      <c r="Q104" s="39">
        <f t="shared" si="242"/>
        <v>1.5611633875106929E-2</v>
      </c>
      <c r="R104" s="39">
        <f t="shared" si="221"/>
        <v>1.5625E-2</v>
      </c>
      <c r="S104" s="39">
        <f t="shared" si="221"/>
        <v>1.2432324042510528E-2</v>
      </c>
      <c r="T104" s="39">
        <f t="shared" ref="T104:U104" si="243">T73/T$68</f>
        <v>1.7486548808608761E-2</v>
      </c>
      <c r="U104" s="39">
        <f t="shared" si="243"/>
        <v>1.7444304329550232E-2</v>
      </c>
      <c r="V104" s="39">
        <f t="shared" ref="V104:W104" si="244">V73/V$68</f>
        <v>1.6295025728987993E-2</v>
      </c>
      <c r="W104" s="39">
        <f t="shared" si="244"/>
        <v>1.3818516812528788E-2</v>
      </c>
      <c r="X104" s="39">
        <f t="shared" ref="X104:Y104" si="245">X73/X$68</f>
        <v>6.4980273845439774E-3</v>
      </c>
      <c r="Y104" s="39">
        <f t="shared" si="245"/>
        <v>6.6529020417526955E-3</v>
      </c>
      <c r="Z104" s="39">
        <f t="shared" ref="Z104:AA104" si="246">Z73/Z$68</f>
        <v>6.5681444991789817E-3</v>
      </c>
      <c r="AA104" s="39">
        <f t="shared" si="246"/>
        <v>4.5709536671514651E-3</v>
      </c>
      <c r="AB104" s="39">
        <f t="shared" ref="AB104:AC104" si="247">AB73/AB$68</f>
        <v>4.84822934232715E-3</v>
      </c>
      <c r="AC104" s="39">
        <f t="shared" si="247"/>
        <v>2.8895768833849329E-3</v>
      </c>
      <c r="AD104" s="39">
        <f t="shared" ref="AD104" si="248">AD73/AD$68</f>
        <v>2.7571580063626721E-3</v>
      </c>
      <c r="AF104" s="674"/>
    </row>
    <row r="105" spans="1:32" ht="12.75">
      <c r="A105" s="10"/>
      <c r="B105" s="10"/>
      <c r="C105" s="6" t="s">
        <v>47</v>
      </c>
      <c r="D105" s="10"/>
      <c r="E105" s="39">
        <f t="shared" ref="E105:M105" si="249">E74/E$68</f>
        <v>0.11014176663031625</v>
      </c>
      <c r="F105" s="39">
        <f t="shared" si="249"/>
        <v>0.11118321436296777</v>
      </c>
      <c r="G105" s="39">
        <f t="shared" si="249"/>
        <v>0.1237696335078534</v>
      </c>
      <c r="H105" s="39">
        <f t="shared" si="249"/>
        <v>0.12801678908709338</v>
      </c>
      <c r="I105" s="39">
        <f t="shared" si="249"/>
        <v>0.12846998063266624</v>
      </c>
      <c r="J105" s="39">
        <f t="shared" si="249"/>
        <v>0.12528953463887135</v>
      </c>
      <c r="K105" s="39">
        <f t="shared" si="249"/>
        <v>0.12783676868623778</v>
      </c>
      <c r="L105" s="39">
        <f t="shared" si="249"/>
        <v>0.12533553582490192</v>
      </c>
      <c r="M105" s="39">
        <f t="shared" si="249"/>
        <v>0.12595184194278658</v>
      </c>
      <c r="N105" s="39">
        <f t="shared" si="219"/>
        <v>0.13545042125729098</v>
      </c>
      <c r="O105" s="39">
        <f t="shared" si="219"/>
        <v>0.1312096235241702</v>
      </c>
      <c r="P105" s="39">
        <f t="shared" ref="P105:Q105" si="250">P74/P$68</f>
        <v>0.1309881971765795</v>
      </c>
      <c r="Q105" s="39">
        <f t="shared" si="250"/>
        <v>0.12788708297690335</v>
      </c>
      <c r="R105" s="39">
        <f t="shared" si="221"/>
        <v>0.12375</v>
      </c>
      <c r="S105" s="39">
        <f t="shared" si="221"/>
        <v>0.1171044716262282</v>
      </c>
      <c r="T105" s="39">
        <f t="shared" ref="T105:U105" si="251">T74/T$68</f>
        <v>0.11414296694850115</v>
      </c>
      <c r="U105" s="39">
        <f t="shared" si="251"/>
        <v>0.11979823455233292</v>
      </c>
      <c r="V105" s="39">
        <f t="shared" ref="V105:W105" si="252">V74/V$68</f>
        <v>0.12457118353344769</v>
      </c>
      <c r="W105" s="39">
        <f t="shared" si="252"/>
        <v>0.1269000460617227</v>
      </c>
      <c r="X105" s="39">
        <f t="shared" ref="X105:Y105" si="253">X74/X$68</f>
        <v>0.13204919935019727</v>
      </c>
      <c r="Y105" s="39">
        <f t="shared" si="253"/>
        <v>0.12892865336086259</v>
      </c>
      <c r="Z105" s="39">
        <f t="shared" ref="Z105:AA105" si="254">Z74/Z$68</f>
        <v>0.11432676518883415</v>
      </c>
      <c r="AA105" s="39">
        <f t="shared" si="254"/>
        <v>0.11406607105755247</v>
      </c>
      <c r="AB105" s="39">
        <f t="shared" ref="AB105:AC105" si="255">AB74/AB$68</f>
        <v>0.1163575042158516</v>
      </c>
      <c r="AC105" s="39">
        <f t="shared" si="255"/>
        <v>0.12094943240454076</v>
      </c>
      <c r="AD105" s="39">
        <f t="shared" ref="AD105" si="256">AD74/AD$68</f>
        <v>0.13001060445387064</v>
      </c>
      <c r="AF105" s="674"/>
    </row>
    <row r="106" spans="1:32" ht="12.75">
      <c r="A106" s="10"/>
      <c r="B106" s="10"/>
      <c r="C106" s="6" t="s">
        <v>48</v>
      </c>
      <c r="D106" s="10"/>
      <c r="E106" s="39">
        <f t="shared" ref="E106:M113" si="257">E75/E$68</f>
        <v>0.11254089422028353</v>
      </c>
      <c r="F106" s="39">
        <f t="shared" si="257"/>
        <v>0.12026822409690677</v>
      </c>
      <c r="G106" s="39">
        <f t="shared" si="257"/>
        <v>0.1124607329842932</v>
      </c>
      <c r="H106" s="39">
        <f t="shared" si="257"/>
        <v>0.1080797481636936</v>
      </c>
      <c r="I106" s="39">
        <f t="shared" si="257"/>
        <v>0.11276092102431676</v>
      </c>
      <c r="J106" s="39">
        <f t="shared" si="257"/>
        <v>0.10549589387239419</v>
      </c>
      <c r="K106" s="39">
        <f t="shared" si="257"/>
        <v>0.10576722881532376</v>
      </c>
      <c r="L106" s="39">
        <f t="shared" si="257"/>
        <v>0.10592607887672929</v>
      </c>
      <c r="M106" s="39">
        <f>M75/M$68</f>
        <v>9.9197365713109692E-2</v>
      </c>
      <c r="N106" s="39">
        <f t="shared" si="219"/>
        <v>0.10520630805789587</v>
      </c>
      <c r="O106" s="39">
        <f t="shared" si="219"/>
        <v>0.12007128536422365</v>
      </c>
      <c r="P106" s="39">
        <f t="shared" ref="P106:Q106" si="258">P75/P$68</f>
        <v>0.12983105762554964</v>
      </c>
      <c r="Q106" s="39">
        <f t="shared" si="258"/>
        <v>0.12917023096663816</v>
      </c>
      <c r="R106" s="39">
        <f t="shared" si="221"/>
        <v>0.12916666666666668</v>
      </c>
      <c r="S106" s="39">
        <f t="shared" si="221"/>
        <v>0.11429717264888711</v>
      </c>
      <c r="T106" s="39">
        <f t="shared" ref="T106:U106" si="259">T75/T$68</f>
        <v>0.11510376633358954</v>
      </c>
      <c r="U106" s="39">
        <f t="shared" si="259"/>
        <v>0.12147961328289197</v>
      </c>
      <c r="V106" s="39">
        <f t="shared" ref="V106:W106" si="260">V75/V$68</f>
        <v>0.12671526586620926</v>
      </c>
      <c r="W106" s="39">
        <f t="shared" si="260"/>
        <v>0.13795485951174574</v>
      </c>
      <c r="X106" s="39">
        <f t="shared" ref="X106:Y106" si="261">X75/X$68</f>
        <v>0.13808308192155952</v>
      </c>
      <c r="Y106" s="39">
        <f t="shared" si="261"/>
        <v>0.14223445744436797</v>
      </c>
      <c r="Z106" s="39">
        <f t="shared" ref="Z106:AA106" si="262">Z75/Z$68</f>
        <v>0.14285714285714285</v>
      </c>
      <c r="AA106" s="39">
        <f t="shared" si="262"/>
        <v>0.14627051734884688</v>
      </c>
      <c r="AB106" s="39">
        <f t="shared" ref="AB106:AC106" si="263">AB75/AB$68</f>
        <v>0.14586846543001686</v>
      </c>
      <c r="AC106" s="39">
        <f t="shared" si="263"/>
        <v>0.14757481940144479</v>
      </c>
      <c r="AD106" s="39">
        <f t="shared" ref="AD106" si="264">AD75/AD$68</f>
        <v>0.14506892895015908</v>
      </c>
      <c r="AF106" s="674"/>
    </row>
    <row r="107" spans="1:32">
      <c r="A107" s="10"/>
      <c r="B107" s="10"/>
      <c r="C107" s="6" t="s">
        <v>49</v>
      </c>
      <c r="D107" s="10"/>
      <c r="E107" s="40">
        <f t="shared" si="257"/>
        <v>5.3871319520174481E-2</v>
      </c>
      <c r="F107" s="40">
        <f t="shared" si="257"/>
        <v>5.9701492537313432E-2</v>
      </c>
      <c r="G107" s="40">
        <f t="shared" si="257"/>
        <v>6.0314136125654449E-2</v>
      </c>
      <c r="H107" s="40">
        <f t="shared" si="257"/>
        <v>5.7502623294858342E-2</v>
      </c>
      <c r="I107" s="40">
        <f t="shared" si="257"/>
        <v>5.9393156875403488E-2</v>
      </c>
      <c r="J107" s="40">
        <f t="shared" si="257"/>
        <v>6.2118340703305956E-2</v>
      </c>
      <c r="K107" s="40">
        <f t="shared" si="257"/>
        <v>6.7666042057047682E-2</v>
      </c>
      <c r="L107" s="40">
        <f t="shared" si="257"/>
        <v>7.4953541193475123E-2</v>
      </c>
      <c r="M107" s="40">
        <f>M76/M$68</f>
        <v>8.4585305618440007E-2</v>
      </c>
      <c r="N107" s="40">
        <f t="shared" si="219"/>
        <v>8.7707928278245847E-2</v>
      </c>
      <c r="O107" s="40">
        <f t="shared" si="219"/>
        <v>8.8215638226776569E-2</v>
      </c>
      <c r="P107" s="40">
        <f t="shared" ref="P107:Q107" si="265">P76/P$68</f>
        <v>9.0719740800740564E-2</v>
      </c>
      <c r="Q107" s="40">
        <f t="shared" si="265"/>
        <v>9.5594525235243796E-2</v>
      </c>
      <c r="R107" s="40">
        <f t="shared" si="221"/>
        <v>9.3541666666666662E-2</v>
      </c>
      <c r="S107" s="40">
        <f t="shared" si="221"/>
        <v>9.4646079807499492E-2</v>
      </c>
      <c r="T107" s="40">
        <f t="shared" ref="T107:U107" si="266">T76/T$68</f>
        <v>8.8201383551114523E-2</v>
      </c>
      <c r="U107" s="40">
        <f t="shared" si="266"/>
        <v>7.8814627994955866E-2</v>
      </c>
      <c r="V107" s="40">
        <f t="shared" ref="V107:W107" si="267">V76/V$68</f>
        <v>7.8687821612349912E-2</v>
      </c>
      <c r="W107" s="40">
        <f t="shared" si="267"/>
        <v>8.2450483648088435E-2</v>
      </c>
      <c r="X107" s="40">
        <f t="shared" ref="X107:Y107" si="268">X76/X$68</f>
        <v>8.4242283592480857E-2</v>
      </c>
      <c r="Y107" s="40">
        <f t="shared" si="268"/>
        <v>8.5570084881853636E-2</v>
      </c>
      <c r="Z107" s="40">
        <f t="shared" ref="Z107:AA107" si="269">Z76/Z$68</f>
        <v>7.4917898193760268E-2</v>
      </c>
      <c r="AA107" s="40">
        <f t="shared" si="269"/>
        <v>7.2304176189486813E-2</v>
      </c>
      <c r="AB107" s="40">
        <f t="shared" ref="AB107:AC107" si="270">AB76/AB$68</f>
        <v>7.2301854974704885E-2</v>
      </c>
      <c r="AC107" s="40">
        <f t="shared" si="270"/>
        <v>7.0381836945304435E-2</v>
      </c>
      <c r="AD107" s="40">
        <f t="shared" ref="AD107" si="271">AD76/AD$68</f>
        <v>7.5503711558854714E-2</v>
      </c>
      <c r="AF107" s="674"/>
    </row>
    <row r="108" spans="1:32">
      <c r="A108" s="10"/>
      <c r="B108" s="10"/>
      <c r="C108" s="10"/>
      <c r="D108" s="10" t="s">
        <v>0</v>
      </c>
      <c r="E108" s="40">
        <f>E77/E$68</f>
        <v>0.77295528898582333</v>
      </c>
      <c r="F108" s="40">
        <f t="shared" si="257"/>
        <v>0.78498810296344368</v>
      </c>
      <c r="G108" s="40">
        <f t="shared" si="257"/>
        <v>0.74157068062827225</v>
      </c>
      <c r="H108" s="40">
        <f t="shared" si="257"/>
        <v>0.73137460650577124</v>
      </c>
      <c r="I108" s="40">
        <f t="shared" si="257"/>
        <v>0.73638906821605332</v>
      </c>
      <c r="J108" s="40">
        <f t="shared" si="257"/>
        <v>0.71488734470414828</v>
      </c>
      <c r="K108" s="40">
        <f t="shared" si="257"/>
        <v>0.71455340412242352</v>
      </c>
      <c r="L108" s="40">
        <f t="shared" si="257"/>
        <v>0.70596737559364031</v>
      </c>
      <c r="M108" s="40">
        <f t="shared" si="257"/>
        <v>0.69376414900185224</v>
      </c>
      <c r="N108" s="40">
        <f t="shared" si="219"/>
        <v>0.70425577878591483</v>
      </c>
      <c r="O108" s="40">
        <f t="shared" si="219"/>
        <v>0.69748273557585205</v>
      </c>
      <c r="P108" s="40">
        <f t="shared" ref="P108:Q108" si="272">P77/P$68</f>
        <v>0.71534367044665592</v>
      </c>
      <c r="Q108" s="40">
        <f t="shared" si="272"/>
        <v>0.70808383233532934</v>
      </c>
      <c r="R108" s="40">
        <f t="shared" si="221"/>
        <v>0.70125000000000004</v>
      </c>
      <c r="S108" s="40">
        <f t="shared" si="221"/>
        <v>0.65951473831963103</v>
      </c>
      <c r="T108" s="40">
        <f t="shared" ref="T108:U108" si="273">T77/T$68</f>
        <v>0.643543428132206</v>
      </c>
      <c r="U108" s="40">
        <f t="shared" si="273"/>
        <v>0.64817150063051698</v>
      </c>
      <c r="V108" s="40">
        <f t="shared" ref="V108:W108" si="274">V77/V$68</f>
        <v>0.64665523156089189</v>
      </c>
      <c r="W108" s="40">
        <f t="shared" si="274"/>
        <v>0.68793182865039149</v>
      </c>
      <c r="X108" s="40">
        <f t="shared" ref="X108:Y108" si="275">X77/X$68</f>
        <v>0.68739846832211648</v>
      </c>
      <c r="Y108" s="40">
        <f t="shared" si="275"/>
        <v>0.69236063317274599</v>
      </c>
      <c r="Z108" s="40">
        <f t="shared" ref="Z108:AA108" si="276">Z77/Z$68</f>
        <v>0.69766009852216748</v>
      </c>
      <c r="AA108" s="40">
        <f t="shared" si="276"/>
        <v>0.68273426137544146</v>
      </c>
      <c r="AB108" s="40">
        <f t="shared" ref="AB108:AC108" si="277">AB77/AB$68</f>
        <v>0.68570826306914001</v>
      </c>
      <c r="AC108" s="40">
        <f t="shared" si="277"/>
        <v>0.67987616099071202</v>
      </c>
      <c r="AD108" s="40">
        <f t="shared" ref="AD108" si="278">AD77/AD$68</f>
        <v>0.67295864262990457</v>
      </c>
      <c r="AF108" s="674"/>
    </row>
    <row r="109" spans="1:32" ht="12.75">
      <c r="A109" s="11"/>
      <c r="B109" s="25" t="s">
        <v>1</v>
      </c>
      <c r="C109" s="3"/>
      <c r="D109" s="11"/>
      <c r="E109" s="38">
        <f t="shared" ref="E109:L113" si="279">E78/E$68</f>
        <v>0.22704471101417667</v>
      </c>
      <c r="F109" s="38">
        <f t="shared" si="279"/>
        <v>0.21501189703655635</v>
      </c>
      <c r="G109" s="38">
        <f t="shared" si="279"/>
        <v>0.25842931937172775</v>
      </c>
      <c r="H109" s="38">
        <f t="shared" si="279"/>
        <v>0.26862539349422876</v>
      </c>
      <c r="I109" s="38">
        <f t="shared" si="279"/>
        <v>0.26361093178394662</v>
      </c>
      <c r="J109" s="38">
        <f t="shared" si="279"/>
        <v>0.28511265529585178</v>
      </c>
      <c r="K109" s="38">
        <f t="shared" si="279"/>
        <v>0.28544659587757654</v>
      </c>
      <c r="L109" s="38">
        <f t="shared" si="279"/>
        <v>0.29403262440635969</v>
      </c>
      <c r="M109" s="38">
        <f t="shared" si="257"/>
        <v>0.30623585099814776</v>
      </c>
      <c r="N109" s="38">
        <f t="shared" si="219"/>
        <v>0.29574422121408511</v>
      </c>
      <c r="O109" s="38">
        <f t="shared" si="219"/>
        <v>0.30251726442414789</v>
      </c>
      <c r="P109" s="38">
        <f t="shared" ref="P109:Q109" si="280">P78/P$68</f>
        <v>0.28465632955334413</v>
      </c>
      <c r="Q109" s="38">
        <f t="shared" si="280"/>
        <v>0.29191616766467066</v>
      </c>
      <c r="R109" s="38">
        <f t="shared" si="221"/>
        <v>0.29875000000000002</v>
      </c>
      <c r="S109" s="38">
        <f t="shared" si="221"/>
        <v>0.34048526168036897</v>
      </c>
      <c r="T109" s="38">
        <f t="shared" ref="T109:U109" si="281">T78/T$68</f>
        <v>0.356456571867794</v>
      </c>
      <c r="U109" s="38">
        <f t="shared" si="281"/>
        <v>0.35182849936948296</v>
      </c>
      <c r="V109" s="38">
        <f t="shared" ref="V109:W109" si="282">V78/V$68</f>
        <v>0.35334476843910806</v>
      </c>
      <c r="W109" s="38">
        <f t="shared" si="282"/>
        <v>0.31206817134960846</v>
      </c>
      <c r="X109" s="38">
        <f t="shared" ref="X109:Y109" si="283">X78/X$68</f>
        <v>0.31260153167788352</v>
      </c>
      <c r="Y109" s="38">
        <f t="shared" si="283"/>
        <v>0.30763936682725396</v>
      </c>
      <c r="Z109" s="38">
        <f t="shared" ref="Z109:AA109" si="284">Z78/Z$68</f>
        <v>0.30233990147783252</v>
      </c>
      <c r="AA109" s="38">
        <f t="shared" si="284"/>
        <v>0.31726573862455848</v>
      </c>
      <c r="AB109" s="38">
        <f t="shared" ref="AB109:AC109" si="285">AB78/AB$68</f>
        <v>0.31429173693086004</v>
      </c>
      <c r="AC109" s="38">
        <f t="shared" si="285"/>
        <v>0.32012383900928792</v>
      </c>
      <c r="AD109" s="38">
        <f t="shared" ref="AD109" si="286">AD78/AD$68</f>
        <v>0.32704135737009543</v>
      </c>
      <c r="AF109" s="674"/>
    </row>
    <row r="110" spans="1:32">
      <c r="A110" s="12"/>
      <c r="B110" s="663" t="s">
        <v>334</v>
      </c>
      <c r="C110" s="12"/>
      <c r="D110" s="12"/>
      <c r="E110" s="40">
        <f t="shared" si="279"/>
        <v>-1.1341330425299891E-2</v>
      </c>
      <c r="F110" s="40">
        <f t="shared" si="279"/>
        <v>-6.7056024226692622E-3</v>
      </c>
      <c r="G110" s="40">
        <f t="shared" si="279"/>
        <v>-2.0942408376963353E-3</v>
      </c>
      <c r="H110" s="40">
        <f t="shared" si="279"/>
        <v>0</v>
      </c>
      <c r="I110" s="40">
        <f t="shared" si="279"/>
        <v>-2.1519259737465033E-4</v>
      </c>
      <c r="J110" s="40">
        <f t="shared" si="279"/>
        <v>-2.5268477574226151E-3</v>
      </c>
      <c r="K110" s="40">
        <f t="shared" si="279"/>
        <v>-4.7886737455756822E-3</v>
      </c>
      <c r="L110" s="40">
        <f t="shared" si="279"/>
        <v>-5.1620896138756967E-3</v>
      </c>
      <c r="M110" s="40">
        <f t="shared" si="257"/>
        <v>-5.3508952459353776E-3</v>
      </c>
      <c r="N110" s="40">
        <f t="shared" si="219"/>
        <v>-3.2404406999351912E-3</v>
      </c>
      <c r="O110" s="40">
        <f t="shared" si="219"/>
        <v>-6.6830028959679211E-4</v>
      </c>
      <c r="P110" s="40">
        <f t="shared" ref="P110:Q110" si="287">P79/P$68</f>
        <v>-2.3142791020597085E-4</v>
      </c>
      <c r="Q110" s="40">
        <f t="shared" si="287"/>
        <v>-2.13857998289136E-4</v>
      </c>
      <c r="R110" s="40">
        <f t="shared" si="221"/>
        <v>2.0833333333333335E-4</v>
      </c>
      <c r="S110" s="40">
        <f t="shared" si="221"/>
        <v>-1.4036494886705434E-3</v>
      </c>
      <c r="T110" s="40">
        <f t="shared" ref="T110:U110" si="288">T79/T$68</f>
        <v>-1.5372790161414297E-3</v>
      </c>
      <c r="U110" s="40">
        <f t="shared" si="288"/>
        <v>-1.2610340479192938E-3</v>
      </c>
      <c r="V110" s="40">
        <f t="shared" ref="V110:W110" si="289">V79/V$68</f>
        <v>-2.144082332761578E-4</v>
      </c>
      <c r="W110" s="40">
        <f t="shared" si="289"/>
        <v>1.2206356517733764E-2</v>
      </c>
      <c r="X110" s="40">
        <f t="shared" ref="X110:Y110" si="290">X79/X$68</f>
        <v>2.4599675098630772E-2</v>
      </c>
      <c r="Y110" s="40">
        <f t="shared" si="290"/>
        <v>3.5788024776324846E-2</v>
      </c>
      <c r="Z110" s="40">
        <f t="shared" ref="Z110:AA110" si="291">Z79/Z$68</f>
        <v>4.1666666666666664E-2</v>
      </c>
      <c r="AA110" s="40">
        <f t="shared" si="291"/>
        <v>4.1761894868065655E-2</v>
      </c>
      <c r="AB110" s="40">
        <f t="shared" ref="AB110:AC110" si="292">AB79/AB$68</f>
        <v>4.2369308600337267E-2</v>
      </c>
      <c r="AC110" s="40">
        <f t="shared" si="292"/>
        <v>4.148606811145511E-2</v>
      </c>
      <c r="AD110" s="40">
        <f t="shared" ref="AD110" si="293">AD79/AD$68</f>
        <v>4.2629904559915166E-2</v>
      </c>
      <c r="AF110" s="674"/>
    </row>
    <row r="111" spans="1:32" ht="12.75">
      <c r="A111" s="12"/>
      <c r="B111" s="22" t="s">
        <v>325</v>
      </c>
      <c r="C111" s="4"/>
      <c r="D111" s="12"/>
      <c r="E111" s="39">
        <f t="shared" si="279"/>
        <v>0.23838604143947656</v>
      </c>
      <c r="F111" s="39">
        <f t="shared" si="279"/>
        <v>0.22171749945922561</v>
      </c>
      <c r="G111" s="39">
        <f t="shared" si="279"/>
        <v>0.26052356020942408</v>
      </c>
      <c r="H111" s="39">
        <f t="shared" si="279"/>
        <v>0.26862539349422876</v>
      </c>
      <c r="I111" s="39">
        <f t="shared" si="279"/>
        <v>0.2638261243813213</v>
      </c>
      <c r="J111" s="39">
        <f t="shared" si="279"/>
        <v>0.28763950305327435</v>
      </c>
      <c r="K111" s="39">
        <f t="shared" si="279"/>
        <v>0.29023526962315221</v>
      </c>
      <c r="L111" s="39">
        <f t="shared" si="279"/>
        <v>0.2991947140202354</v>
      </c>
      <c r="M111" s="39">
        <f t="shared" si="257"/>
        <v>0.31158674624408317</v>
      </c>
      <c r="N111" s="39">
        <f t="shared" si="219"/>
        <v>0.29898466191402029</v>
      </c>
      <c r="O111" s="39">
        <f t="shared" si="219"/>
        <v>0.30318556471374469</v>
      </c>
      <c r="P111" s="39">
        <f t="shared" ref="P111:Q111" si="294">P80/P$68</f>
        <v>0.28488775746355011</v>
      </c>
      <c r="Q111" s="39">
        <f t="shared" si="294"/>
        <v>0.29213002566295981</v>
      </c>
      <c r="R111" s="39">
        <f t="shared" si="221"/>
        <v>0.29854166666666665</v>
      </c>
      <c r="S111" s="39">
        <f t="shared" si="221"/>
        <v>0.34188891116903952</v>
      </c>
      <c r="T111" s="39">
        <f t="shared" ref="T111:U111" si="295">T80/T$68</f>
        <v>0.35799385088393543</v>
      </c>
      <c r="U111" s="39">
        <f t="shared" si="295"/>
        <v>0.35308953341740229</v>
      </c>
      <c r="V111" s="39">
        <f t="shared" ref="V111:W111" si="296">V80/V$68</f>
        <v>0.35355917667238423</v>
      </c>
      <c r="W111" s="39">
        <f t="shared" si="296"/>
        <v>0.29986181483187468</v>
      </c>
      <c r="X111" s="39">
        <f t="shared" ref="X111:Y111" si="297">X80/X$68</f>
        <v>0.2880018565792527</v>
      </c>
      <c r="Y111" s="39">
        <f t="shared" si="297"/>
        <v>0.27185134205092909</v>
      </c>
      <c r="Z111" s="39">
        <f t="shared" ref="Z111:AA111" si="298">Z80/Z$68</f>
        <v>0.26067323481116583</v>
      </c>
      <c r="AA111" s="39">
        <f t="shared" si="298"/>
        <v>0.27550384375649284</v>
      </c>
      <c r="AB111" s="39">
        <f t="shared" ref="AB111" si="299">AB80/AB$68</f>
        <v>0.27192242833052277</v>
      </c>
      <c r="AC111" s="39">
        <f t="shared" ref="AC111:AD113" si="300">AC80/AC$68</f>
        <v>0.27863777089783281</v>
      </c>
      <c r="AD111" s="39">
        <f t="shared" si="300"/>
        <v>0.28441145281018027</v>
      </c>
      <c r="AF111" s="674"/>
    </row>
    <row r="112" spans="1:32">
      <c r="A112" s="12"/>
      <c r="B112" s="2" t="s">
        <v>326</v>
      </c>
      <c r="C112" s="4"/>
      <c r="D112" s="12"/>
      <c r="E112" s="40">
        <f t="shared" si="279"/>
        <v>7.6117775354416578E-2</v>
      </c>
      <c r="F112" s="40">
        <f t="shared" si="279"/>
        <v>6.8786502271252437E-2</v>
      </c>
      <c r="G112" s="40">
        <f t="shared" si="279"/>
        <v>6.9947643979057589E-2</v>
      </c>
      <c r="H112" s="40">
        <f t="shared" si="279"/>
        <v>7.6600209863588661E-2</v>
      </c>
      <c r="I112" s="40">
        <f t="shared" si="279"/>
        <v>7.5532601678502259E-2</v>
      </c>
      <c r="J112" s="40">
        <f t="shared" si="279"/>
        <v>8.3807117287850078E-2</v>
      </c>
      <c r="K112" s="40">
        <f t="shared" si="279"/>
        <v>8.3905892150739125E-2</v>
      </c>
      <c r="L112" s="40">
        <f t="shared" si="279"/>
        <v>8.6310138344001655E-2</v>
      </c>
      <c r="M112" s="40">
        <f t="shared" si="257"/>
        <v>8.9936200864375385E-2</v>
      </c>
      <c r="N112" s="40">
        <f t="shared" si="219"/>
        <v>7.9498811838410025E-2</v>
      </c>
      <c r="O112" s="40">
        <f t="shared" si="219"/>
        <v>6.1038093116507014E-2</v>
      </c>
      <c r="P112" s="40">
        <f t="shared" ref="P112:Q112" si="301">P81/P$68</f>
        <v>5.4154130988197179E-2</v>
      </c>
      <c r="Q112" s="40">
        <f t="shared" si="301"/>
        <v>5.6244653550042774E-2</v>
      </c>
      <c r="R112" s="40">
        <f t="shared" si="221"/>
        <v>5.1874999999999998E-2</v>
      </c>
      <c r="S112" s="40">
        <f t="shared" si="221"/>
        <v>7.1185081211148984E-2</v>
      </c>
      <c r="T112" s="40">
        <f t="shared" ref="T112:U112" si="302">T81/T$68</f>
        <v>7.3212913143735583E-2</v>
      </c>
      <c r="U112" s="40">
        <f t="shared" si="302"/>
        <v>6.9777217318200926E-2</v>
      </c>
      <c r="V112" s="40">
        <f t="shared" ref="V112:W112" si="303">V81/V$68</f>
        <v>8.1260720411663809E-2</v>
      </c>
      <c r="W112" s="40">
        <f t="shared" si="303"/>
        <v>6.9783509903270383E-2</v>
      </c>
      <c r="X112" s="40">
        <f t="shared" ref="X112:Y112" si="304">X81/X$68</f>
        <v>6.9389649570666054E-2</v>
      </c>
      <c r="Y112" s="40">
        <f t="shared" si="304"/>
        <v>6.6070199587061257E-2</v>
      </c>
      <c r="Z112" s="40">
        <f t="shared" ref="Z112:AA112" si="305">Z81/Z$68</f>
        <v>5.9523809523809521E-2</v>
      </c>
      <c r="AA112" s="40">
        <f t="shared" si="305"/>
        <v>5.5890297111988362E-2</v>
      </c>
      <c r="AB112" s="40">
        <f t="shared" ref="AB112" si="306">AB81/AB$68</f>
        <v>5.438448566610455E-2</v>
      </c>
      <c r="AC112" s="40">
        <f t="shared" si="300"/>
        <v>5.5727554179566562E-2</v>
      </c>
      <c r="AD112" s="40">
        <f t="shared" si="300"/>
        <v>5.8536585365853662E-2</v>
      </c>
      <c r="AF112" s="674"/>
    </row>
    <row r="113" spans="1:32">
      <c r="A113" s="9"/>
      <c r="B113" s="25" t="s">
        <v>2</v>
      </c>
      <c r="C113" s="9"/>
      <c r="D113" s="9"/>
      <c r="E113" s="41">
        <f t="shared" si="279"/>
        <v>0.16226826608505998</v>
      </c>
      <c r="F113" s="41">
        <f t="shared" si="279"/>
        <v>0.15293099718797318</v>
      </c>
      <c r="G113" s="41">
        <f t="shared" si="279"/>
        <v>0.19057591623036649</v>
      </c>
      <c r="H113" s="41">
        <f t="shared" si="279"/>
        <v>0.19202518363064008</v>
      </c>
      <c r="I113" s="41">
        <f t="shared" si="279"/>
        <v>0.18829352270281902</v>
      </c>
      <c r="J113" s="41">
        <f t="shared" si="279"/>
        <v>0.20383238576542431</v>
      </c>
      <c r="K113" s="41">
        <f t="shared" si="279"/>
        <v>0.20632937747241306</v>
      </c>
      <c r="L113" s="41">
        <f t="shared" si="279"/>
        <v>0.21288457567623373</v>
      </c>
      <c r="M113" s="41">
        <f t="shared" si="257"/>
        <v>0.22165054537970777</v>
      </c>
      <c r="N113" s="41">
        <f t="shared" si="219"/>
        <v>0.21948585007561028</v>
      </c>
      <c r="O113" s="41">
        <f t="shared" si="219"/>
        <v>0.24214747159723768</v>
      </c>
      <c r="P113" s="41">
        <f t="shared" ref="P113:Q113" si="307">P82/P$68</f>
        <v>0.23073362647535292</v>
      </c>
      <c r="Q113" s="41">
        <f t="shared" si="307"/>
        <v>0.23588537211291702</v>
      </c>
      <c r="R113" s="41">
        <f t="shared" si="221"/>
        <v>0.24666666666666667</v>
      </c>
      <c r="S113" s="41">
        <f t="shared" si="221"/>
        <v>0.2707038299578905</v>
      </c>
      <c r="T113" s="41">
        <f t="shared" ref="T113:U113" si="308">T82/T$68</f>
        <v>0.28478093774019986</v>
      </c>
      <c r="U113" s="41">
        <f t="shared" si="308"/>
        <v>0.28331231609920132</v>
      </c>
      <c r="V113" s="41">
        <f t="shared" ref="V113:W113" si="309">V82/V$68</f>
        <v>0.27229845626072041</v>
      </c>
      <c r="W113" s="41">
        <f t="shared" si="309"/>
        <v>0.23007830492860434</v>
      </c>
      <c r="X113" s="41">
        <f t="shared" ref="X113:Y113" si="310">X82/X$68</f>
        <v>0.21861220700858669</v>
      </c>
      <c r="Y113" s="41">
        <f t="shared" si="310"/>
        <v>0.20578114246386786</v>
      </c>
      <c r="Z113" s="41">
        <f t="shared" ref="Z113:AA113" si="311">Z82/Z$68</f>
        <v>0.20114942528735633</v>
      </c>
      <c r="AA113" s="41">
        <f t="shared" si="311"/>
        <v>0.21961354664450447</v>
      </c>
      <c r="AB113" s="41">
        <f t="shared" ref="AB113" si="312">AB82/AB$68</f>
        <v>0.2175379426644182</v>
      </c>
      <c r="AC113" s="41">
        <f t="shared" si="300"/>
        <v>0.22291021671826625</v>
      </c>
      <c r="AD113" s="41">
        <f t="shared" si="300"/>
        <v>0.22587486744432661</v>
      </c>
      <c r="AF113" s="674"/>
    </row>
    <row r="114" spans="1:32">
      <c r="E114" s="48"/>
      <c r="AF114" s="674"/>
    </row>
    <row r="115" spans="1:32">
      <c r="A115" s="27"/>
      <c r="B115" s="5" t="s">
        <v>221</v>
      </c>
      <c r="AF115" s="674"/>
    </row>
    <row r="116" spans="1:32">
      <c r="AF116" s="674"/>
    </row>
  </sheetData>
  <mergeCells count="5">
    <mergeCell ref="A1:AE1"/>
    <mergeCell ref="A2:AE2"/>
    <mergeCell ref="A3:AE3"/>
    <mergeCell ref="B27:D27"/>
    <mergeCell ref="B83:D83"/>
  </mergeCells>
  <conditionalFormatting sqref="B64:B65 C62:C65">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25</oddFooter>
  </headerFooter>
  <rowBreaks count="1" manualBreakCount="1">
    <brk id="61" max="22" man="1"/>
  </rowBreaks>
  <ignoredErrors>
    <ignoredError sqref="E10:E20 F10:F20 E30:F36 E68:F76 E86:F89 E83:F83 E79:F79 E23:F23 E27:AD27 G37 H23:AD23 J10:J20 I10:I20 H10:H20 G10:G20 K10:AD20 H30:AD36 G68:AD80 E90:E92 F90:F92 G90:AD92 G93 K93 O93 S93 W93 AA93 G82:AD87" formulaRange="1"/>
    <ignoredError sqref="E81:F81" formula="1"/>
    <ignoredError sqref="E25:AD25 G81:AD81"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J29"/>
  <sheetViews>
    <sheetView showGridLines="0" zoomScaleNormal="100" zoomScaleSheetLayoutView="100" zoomScalePageLayoutView="68" workbookViewId="0">
      <pane xSplit="4" ySplit="7" topLeftCell="AA8" activePane="bottomRight" state="frozen"/>
      <selection sqref="A1:AE1"/>
      <selection pane="topRight" sqref="A1:AE1"/>
      <selection pane="bottomLeft" sqref="A1:AE1"/>
      <selection pane="bottomRight" activeCell="D28" sqref="D28"/>
    </sheetView>
  </sheetViews>
  <sheetFormatPr defaultColWidth="8.85546875" defaultRowHeight="12"/>
  <cols>
    <col min="1" max="3" width="2.7109375" style="5" customWidth="1"/>
    <col min="4" max="4" width="45.7109375" style="5" customWidth="1"/>
    <col min="5" max="7" width="9.7109375" style="491" customWidth="1"/>
    <col min="8" max="10" width="9.7109375" style="535" customWidth="1"/>
    <col min="11" max="11" width="9.7109375" style="535" customWidth="1" collapsed="1"/>
    <col min="12" max="15" width="9.7109375" style="535" customWidth="1"/>
    <col min="16" max="16" width="9.7109375" style="406" customWidth="1"/>
    <col min="17" max="33" width="9.7109375" style="491" customWidth="1"/>
    <col min="34" max="34" width="1.42578125" style="491" customWidth="1"/>
    <col min="35" max="35" width="9.7109375" style="491" customWidth="1"/>
    <col min="36" max="36" width="1" style="491" customWidth="1"/>
    <col min="37" max="16384" width="8.85546875" style="491"/>
  </cols>
  <sheetData>
    <row r="1" spans="1:36" s="31" customFormat="1" ht="15" customHeight="1" collapsed="1">
      <c r="A1" s="685" t="s">
        <v>42</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c r="AI1" s="685"/>
      <c r="AJ1" s="685"/>
    </row>
    <row r="2" spans="1:36" s="31" customFormat="1" ht="15" customHeight="1">
      <c r="A2" s="685" t="s">
        <v>328</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c r="AI2" s="685"/>
      <c r="AJ2" s="685"/>
    </row>
    <row r="3" spans="1:36" s="31" customFormat="1" ht="15" customHeight="1">
      <c r="A3" s="687" t="s">
        <v>24</v>
      </c>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row>
    <row r="4" spans="1:36">
      <c r="A4" s="495"/>
      <c r="B4" s="495"/>
      <c r="C4" s="495"/>
      <c r="D4" s="495"/>
      <c r="E4" s="535"/>
      <c r="F4" s="535"/>
      <c r="G4" s="535"/>
      <c r="Q4" s="535"/>
      <c r="R4" s="535"/>
      <c r="S4" s="535"/>
      <c r="T4" s="535"/>
      <c r="U4" s="535"/>
      <c r="V4" s="535"/>
      <c r="W4" s="535"/>
      <c r="X4" s="535"/>
      <c r="Y4" s="535"/>
      <c r="Z4" s="535"/>
      <c r="AA4" s="535"/>
      <c r="AB4" s="535"/>
      <c r="AC4" s="535"/>
      <c r="AD4" s="535"/>
      <c r="AE4" s="535"/>
      <c r="AF4" s="535"/>
      <c r="AG4" s="535"/>
      <c r="AH4" s="535"/>
    </row>
    <row r="5" spans="1:36">
      <c r="A5" s="25"/>
    </row>
    <row r="6" spans="1:36" ht="13.5">
      <c r="E6" s="19" t="s">
        <v>216</v>
      </c>
      <c r="F6" s="19" t="s">
        <v>6</v>
      </c>
      <c r="G6" s="19" t="s">
        <v>3</v>
      </c>
      <c r="H6" s="390" t="s">
        <v>4</v>
      </c>
      <c r="I6" s="390" t="s">
        <v>5</v>
      </c>
      <c r="J6" s="390" t="s">
        <v>6</v>
      </c>
      <c r="K6" s="390" t="s">
        <v>3</v>
      </c>
      <c r="L6" s="390" t="s">
        <v>4</v>
      </c>
      <c r="M6" s="390" t="s">
        <v>5</v>
      </c>
      <c r="N6" s="390" t="s">
        <v>6</v>
      </c>
      <c r="O6" s="390" t="s">
        <v>3</v>
      </c>
      <c r="P6" s="390" t="s">
        <v>4</v>
      </c>
      <c r="Q6" s="390" t="s">
        <v>5</v>
      </c>
      <c r="R6" s="390" t="s">
        <v>6</v>
      </c>
      <c r="S6" s="390" t="s">
        <v>3</v>
      </c>
      <c r="T6" s="390" t="s">
        <v>4</v>
      </c>
      <c r="U6" s="390" t="s">
        <v>5</v>
      </c>
      <c r="V6" s="390" t="s">
        <v>6</v>
      </c>
      <c r="W6" s="390" t="s">
        <v>3</v>
      </c>
      <c r="X6" s="390" t="s">
        <v>4</v>
      </c>
      <c r="Y6" s="390" t="s">
        <v>5</v>
      </c>
      <c r="Z6" s="390" t="s">
        <v>6</v>
      </c>
      <c r="AA6" s="390" t="s">
        <v>3</v>
      </c>
      <c r="AB6" s="390" t="s">
        <v>4</v>
      </c>
      <c r="AC6" s="390" t="s">
        <v>5</v>
      </c>
      <c r="AD6" s="390" t="s">
        <v>6</v>
      </c>
      <c r="AE6" s="390" t="s">
        <v>3</v>
      </c>
      <c r="AF6" s="390" t="s">
        <v>4</v>
      </c>
      <c r="AG6" s="390" t="s">
        <v>5</v>
      </c>
      <c r="AI6" s="390" t="s">
        <v>218</v>
      </c>
    </row>
    <row r="7" spans="1:36">
      <c r="A7" s="598"/>
      <c r="B7" s="598"/>
      <c r="C7" s="598"/>
      <c r="D7" s="598"/>
      <c r="E7" s="45" t="s">
        <v>43</v>
      </c>
      <c r="F7" s="45" t="s">
        <v>43</v>
      </c>
      <c r="G7" s="45" t="s">
        <v>44</v>
      </c>
      <c r="H7" s="391" t="s">
        <v>44</v>
      </c>
      <c r="I7" s="391" t="s">
        <v>44</v>
      </c>
      <c r="J7" s="391" t="s">
        <v>44</v>
      </c>
      <c r="K7" s="391" t="s">
        <v>45</v>
      </c>
      <c r="L7" s="391" t="s">
        <v>45</v>
      </c>
      <c r="M7" s="391" t="s">
        <v>45</v>
      </c>
      <c r="N7" s="391" t="s">
        <v>45</v>
      </c>
      <c r="O7" s="391" t="s">
        <v>46</v>
      </c>
      <c r="P7" s="391" t="s">
        <v>46</v>
      </c>
      <c r="Q7" s="391" t="s">
        <v>46</v>
      </c>
      <c r="R7" s="391" t="s">
        <v>46</v>
      </c>
      <c r="S7" s="391" t="s">
        <v>237</v>
      </c>
      <c r="T7" s="391" t="s">
        <v>237</v>
      </c>
      <c r="U7" s="391" t="s">
        <v>237</v>
      </c>
      <c r="V7" s="391" t="s">
        <v>237</v>
      </c>
      <c r="W7" s="391" t="s">
        <v>264</v>
      </c>
      <c r="X7" s="391" t="s">
        <v>264</v>
      </c>
      <c r="Y7" s="391" t="s">
        <v>264</v>
      </c>
      <c r="Z7" s="391" t="s">
        <v>264</v>
      </c>
      <c r="AA7" s="391" t="s">
        <v>307</v>
      </c>
      <c r="AB7" s="391" t="s">
        <v>307</v>
      </c>
      <c r="AC7" s="391" t="s">
        <v>307</v>
      </c>
      <c r="AD7" s="391" t="s">
        <v>307</v>
      </c>
      <c r="AE7" s="391" t="s">
        <v>332</v>
      </c>
      <c r="AF7" s="391" t="s">
        <v>332</v>
      </c>
      <c r="AG7" s="391" t="s">
        <v>332</v>
      </c>
      <c r="AI7" s="391" t="s">
        <v>356</v>
      </c>
    </row>
    <row r="8" spans="1:36" ht="5.25" customHeight="1">
      <c r="A8" s="6"/>
      <c r="B8" s="6"/>
      <c r="C8" s="6"/>
      <c r="D8" s="6"/>
      <c r="P8" s="535"/>
      <c r="Q8" s="535"/>
      <c r="R8" s="535"/>
      <c r="S8" s="535"/>
      <c r="T8" s="535"/>
      <c r="U8" s="535"/>
      <c r="V8" s="535"/>
      <c r="W8" s="535"/>
      <c r="X8" s="535"/>
      <c r="Y8" s="535"/>
      <c r="Z8" s="535"/>
      <c r="AA8" s="535"/>
      <c r="AB8" s="535"/>
      <c r="AC8" s="535"/>
      <c r="AD8" s="535"/>
      <c r="AE8" s="535"/>
      <c r="AF8" s="535"/>
      <c r="AG8" s="535"/>
      <c r="AI8" s="535"/>
    </row>
    <row r="9" spans="1:36">
      <c r="A9" s="9"/>
      <c r="B9" s="599" t="s">
        <v>274</v>
      </c>
      <c r="C9" s="9"/>
      <c r="D9" s="9"/>
      <c r="E9" s="606">
        <v>-108</v>
      </c>
      <c r="F9" s="606">
        <f>-72</f>
        <v>-72</v>
      </c>
      <c r="G9" s="606">
        <v>189</v>
      </c>
      <c r="H9" s="606">
        <v>195</v>
      </c>
      <c r="I9" s="606">
        <v>15</v>
      </c>
      <c r="J9" s="606">
        <v>-286</v>
      </c>
      <c r="K9" s="606">
        <v>381</v>
      </c>
      <c r="L9" s="606">
        <v>219</v>
      </c>
      <c r="M9" s="606">
        <v>51</v>
      </c>
      <c r="N9" s="606">
        <v>-233</v>
      </c>
      <c r="O9" s="606">
        <v>503</v>
      </c>
      <c r="P9" s="606">
        <v>335</v>
      </c>
      <c r="Q9" s="606">
        <v>148</v>
      </c>
      <c r="R9" s="606">
        <v>99</v>
      </c>
      <c r="S9" s="606">
        <v>384</v>
      </c>
      <c r="T9" s="606">
        <v>185</v>
      </c>
      <c r="U9" s="606">
        <v>226</v>
      </c>
      <c r="V9" s="606">
        <v>354</v>
      </c>
      <c r="W9" s="606">
        <v>456</v>
      </c>
      <c r="X9" s="606">
        <v>324</v>
      </c>
      <c r="Y9" s="606">
        <f>56</f>
        <v>56</v>
      </c>
      <c r="Z9" s="606">
        <v>174</v>
      </c>
      <c r="AA9" s="606">
        <v>293</v>
      </c>
      <c r="AB9" s="606">
        <v>204</v>
      </c>
      <c r="AC9" s="606">
        <v>-23</v>
      </c>
      <c r="AD9" s="606">
        <v>361</v>
      </c>
      <c r="AE9" s="606">
        <v>394</v>
      </c>
      <c r="AF9" s="606">
        <v>212</v>
      </c>
      <c r="AG9" s="606">
        <v>127</v>
      </c>
      <c r="AH9" s="600"/>
      <c r="AI9" s="606">
        <v>1094</v>
      </c>
    </row>
    <row r="10" spans="1:36">
      <c r="C10" s="5" t="s">
        <v>316</v>
      </c>
      <c r="E10" s="602">
        <v>-18</v>
      </c>
      <c r="F10" s="602">
        <v>-11</v>
      </c>
      <c r="G10" s="602">
        <v>-8</v>
      </c>
      <c r="H10" s="602">
        <v>-2</v>
      </c>
      <c r="I10" s="602">
        <v>-2</v>
      </c>
      <c r="J10" s="602">
        <v>2</v>
      </c>
      <c r="K10" s="602">
        <v>0</v>
      </c>
      <c r="L10" s="602">
        <v>-1</v>
      </c>
      <c r="M10" s="602">
        <v>-1</v>
      </c>
      <c r="N10" s="602">
        <v>0</v>
      </c>
      <c r="O10" s="602">
        <v>-2</v>
      </c>
      <c r="P10" s="602">
        <v>-3</v>
      </c>
      <c r="Q10" s="602">
        <v>-3</v>
      </c>
      <c r="R10" s="602">
        <f>-2</f>
        <v>-2</v>
      </c>
      <c r="S10" s="602">
        <v>-1</v>
      </c>
      <c r="T10" s="602">
        <f>-1</f>
        <v>-1</v>
      </c>
      <c r="U10" s="602">
        <v>-1</v>
      </c>
      <c r="V10" s="602">
        <v>-1</v>
      </c>
      <c r="W10" s="602">
        <v>-2</v>
      </c>
      <c r="X10" s="602">
        <f>0</f>
        <v>0</v>
      </c>
      <c r="Y10" s="602">
        <v>4</v>
      </c>
      <c r="Z10" s="602">
        <v>52</v>
      </c>
      <c r="AA10" s="602">
        <v>51</v>
      </c>
      <c r="AB10" s="602">
        <v>50</v>
      </c>
      <c r="AC10" s="602">
        <v>51</v>
      </c>
      <c r="AD10" s="602">
        <v>51</v>
      </c>
      <c r="AE10" s="602">
        <v>50</v>
      </c>
      <c r="AF10" s="602">
        <v>50</v>
      </c>
      <c r="AG10" s="602">
        <v>51</v>
      </c>
      <c r="AH10" s="601"/>
      <c r="AI10" s="602">
        <v>202</v>
      </c>
    </row>
    <row r="11" spans="1:36">
      <c r="C11" s="5" t="s">
        <v>275</v>
      </c>
      <c r="E11" s="602">
        <f>'QTD P&amp;L'!E24</f>
        <v>-62</v>
      </c>
      <c r="F11" s="602">
        <f>'QTD P&amp;L'!F24</f>
        <v>-58</v>
      </c>
      <c r="G11" s="602">
        <f>'QTD P&amp;L'!G24</f>
        <v>0</v>
      </c>
      <c r="H11" s="602">
        <f>'QTD P&amp;L'!H24</f>
        <v>23</v>
      </c>
      <c r="I11" s="602">
        <f>'QTD P&amp;L'!I24</f>
        <v>5</v>
      </c>
      <c r="J11" s="602">
        <f>'QTD P&amp;L'!J24</f>
        <v>-149</v>
      </c>
      <c r="K11" s="602">
        <f>'QTD P&amp;L'!K24</f>
        <v>130</v>
      </c>
      <c r="L11" s="602">
        <f>'QTD P&amp;L'!L24</f>
        <v>82</v>
      </c>
      <c r="M11" s="602">
        <f>'QTD P&amp;L'!M24</f>
        <v>18</v>
      </c>
      <c r="N11" s="602">
        <f>'QTD P&amp;L'!N24</f>
        <v>-156</v>
      </c>
      <c r="O11" s="602">
        <f>'QTD P&amp;L'!O24</f>
        <v>173</v>
      </c>
      <c r="P11" s="602">
        <f>'QTD P&amp;L'!P24</f>
        <v>134</v>
      </c>
      <c r="Q11" s="602">
        <f>'QTD P&amp;L'!Q24</f>
        <v>17</v>
      </c>
      <c r="R11" s="602">
        <f>'QTD P&amp;L'!R24</f>
        <v>-79</v>
      </c>
      <c r="S11" s="602">
        <f>'QTD P&amp;L'!S24</f>
        <v>130</v>
      </c>
      <c r="T11" s="602">
        <f>'QTD P&amp;L'!T24</f>
        <v>44</v>
      </c>
      <c r="U11" s="602">
        <f>'QTD P&amp;L'!U24</f>
        <v>2</v>
      </c>
      <c r="V11" s="602">
        <f>'QTD P&amp;L'!V24</f>
        <v>133</v>
      </c>
      <c r="W11" s="602">
        <f>'QTD P&amp;L'!W24</f>
        <v>133</v>
      </c>
      <c r="X11" s="602">
        <f>'QTD P&amp;L'!X24</f>
        <v>106</v>
      </c>
      <c r="Y11" s="602">
        <f>10</f>
        <v>10</v>
      </c>
      <c r="Z11" s="602">
        <v>59</v>
      </c>
      <c r="AA11" s="602">
        <v>83</v>
      </c>
      <c r="AB11" s="602">
        <v>56</v>
      </c>
      <c r="AC11" s="602">
        <v>-20</v>
      </c>
      <c r="AD11" s="602">
        <v>27</v>
      </c>
      <c r="AE11" s="602">
        <v>98</v>
      </c>
      <c r="AF11" s="602">
        <v>70</v>
      </c>
      <c r="AG11" s="602">
        <v>18</v>
      </c>
      <c r="AH11" s="601"/>
      <c r="AI11" s="602">
        <v>213</v>
      </c>
    </row>
    <row r="12" spans="1:36">
      <c r="C12" s="5" t="s">
        <v>159</v>
      </c>
      <c r="E12" s="607">
        <v>76</v>
      </c>
      <c r="F12" s="607">
        <f>237</f>
        <v>237</v>
      </c>
      <c r="G12" s="607">
        <v>69</v>
      </c>
      <c r="H12" s="607">
        <f>61</f>
        <v>61</v>
      </c>
      <c r="I12" s="607">
        <v>58</v>
      </c>
      <c r="J12" s="607">
        <f>159</f>
        <v>159</v>
      </c>
      <c r="K12" s="607">
        <f>33</f>
        <v>33</v>
      </c>
      <c r="L12" s="607">
        <v>26</v>
      </c>
      <c r="M12" s="607">
        <v>38</v>
      </c>
      <c r="N12" s="607">
        <v>101</v>
      </c>
      <c r="O12" s="607">
        <v>26</v>
      </c>
      <c r="P12" s="607">
        <v>26</v>
      </c>
      <c r="Q12" s="607">
        <v>25</v>
      </c>
      <c r="R12" s="607">
        <v>71</v>
      </c>
      <c r="S12" s="607">
        <v>23</v>
      </c>
      <c r="T12" s="607">
        <v>22</v>
      </c>
      <c r="U12" s="607">
        <v>24</v>
      </c>
      <c r="V12" s="607">
        <v>51</v>
      </c>
      <c r="W12" s="607">
        <v>24</v>
      </c>
      <c r="X12" s="607">
        <v>23</v>
      </c>
      <c r="Y12" s="607">
        <v>21</v>
      </c>
      <c r="Z12" s="607">
        <v>40</v>
      </c>
      <c r="AA12" s="607">
        <v>19</v>
      </c>
      <c r="AB12" s="607">
        <v>19</v>
      </c>
      <c r="AC12" s="607">
        <v>22</v>
      </c>
      <c r="AD12" s="607">
        <v>29</v>
      </c>
      <c r="AE12" s="607">
        <v>20</v>
      </c>
      <c r="AF12" s="607">
        <v>21</v>
      </c>
      <c r="AG12" s="607">
        <v>25</v>
      </c>
      <c r="AH12" s="602"/>
      <c r="AI12" s="607">
        <v>94</v>
      </c>
    </row>
    <row r="13" spans="1:36" s="535" customFormat="1">
      <c r="A13" s="495"/>
      <c r="B13" s="464" t="s">
        <v>276</v>
      </c>
      <c r="C13" s="495"/>
      <c r="D13" s="495"/>
      <c r="E13" s="603">
        <f>SUM(E9:E12)</f>
        <v>-112</v>
      </c>
      <c r="F13" s="603">
        <f t="shared" ref="F13:Y13" si="0">SUM(F9:F12)</f>
        <v>96</v>
      </c>
      <c r="G13" s="603">
        <f t="shared" si="0"/>
        <v>250</v>
      </c>
      <c r="H13" s="603">
        <f t="shared" si="0"/>
        <v>277</v>
      </c>
      <c r="I13" s="603">
        <f t="shared" si="0"/>
        <v>76</v>
      </c>
      <c r="J13" s="603">
        <f t="shared" si="0"/>
        <v>-274</v>
      </c>
      <c r="K13" s="603">
        <f t="shared" si="0"/>
        <v>544</v>
      </c>
      <c r="L13" s="603">
        <f t="shared" si="0"/>
        <v>326</v>
      </c>
      <c r="M13" s="603">
        <f t="shared" si="0"/>
        <v>106</v>
      </c>
      <c r="N13" s="603">
        <f t="shared" si="0"/>
        <v>-288</v>
      </c>
      <c r="O13" s="603">
        <f t="shared" si="0"/>
        <v>700</v>
      </c>
      <c r="P13" s="603">
        <f t="shared" si="0"/>
        <v>492</v>
      </c>
      <c r="Q13" s="603">
        <f t="shared" si="0"/>
        <v>187</v>
      </c>
      <c r="R13" s="603">
        <f t="shared" si="0"/>
        <v>89</v>
      </c>
      <c r="S13" s="603">
        <f t="shared" si="0"/>
        <v>536</v>
      </c>
      <c r="T13" s="603">
        <f t="shared" si="0"/>
        <v>250</v>
      </c>
      <c r="U13" s="603">
        <f t="shared" si="0"/>
        <v>251</v>
      </c>
      <c r="V13" s="603">
        <f t="shared" si="0"/>
        <v>537</v>
      </c>
      <c r="W13" s="603">
        <f t="shared" si="0"/>
        <v>611</v>
      </c>
      <c r="X13" s="603">
        <f t="shared" si="0"/>
        <v>453</v>
      </c>
      <c r="Y13" s="603">
        <f t="shared" si="0"/>
        <v>91</v>
      </c>
      <c r="Z13" s="603">
        <f t="shared" ref="Z13:AA13" si="1">SUM(Z9:Z12)</f>
        <v>325</v>
      </c>
      <c r="AA13" s="603">
        <f t="shared" si="1"/>
        <v>446</v>
      </c>
      <c r="AB13" s="603">
        <f t="shared" ref="AB13:AC13" si="2">SUM(AB9:AB12)</f>
        <v>329</v>
      </c>
      <c r="AC13" s="603">
        <f t="shared" si="2"/>
        <v>30</v>
      </c>
      <c r="AD13" s="603">
        <f t="shared" ref="AD13:AE13" si="3">SUM(AD9:AD12)</f>
        <v>468</v>
      </c>
      <c r="AE13" s="603">
        <f t="shared" si="3"/>
        <v>562</v>
      </c>
      <c r="AF13" s="603">
        <f t="shared" ref="AF13:AG13" si="4">SUM(AF9:AF12)</f>
        <v>353</v>
      </c>
      <c r="AG13" s="603">
        <f t="shared" si="4"/>
        <v>221</v>
      </c>
      <c r="AI13" s="603">
        <f>SUM(AI9:AI12)</f>
        <v>1603</v>
      </c>
    </row>
    <row r="14" spans="1:36" ht="7.5" customHeight="1">
      <c r="E14" s="602"/>
      <c r="F14" s="602"/>
      <c r="G14" s="602"/>
      <c r="H14" s="602"/>
      <c r="I14" s="602"/>
      <c r="J14" s="602"/>
      <c r="K14" s="602"/>
      <c r="L14" s="602"/>
      <c r="M14" s="602"/>
      <c r="N14" s="602"/>
      <c r="O14" s="602"/>
      <c r="P14" s="602"/>
      <c r="Q14" s="602"/>
      <c r="R14" s="602"/>
      <c r="S14" s="602"/>
      <c r="T14" s="602"/>
      <c r="U14" s="602"/>
      <c r="V14" s="602"/>
      <c r="W14" s="602"/>
      <c r="X14" s="602"/>
      <c r="Y14" s="602"/>
      <c r="Z14" s="602"/>
      <c r="AA14" s="602"/>
      <c r="AB14" s="602"/>
      <c r="AC14" s="602"/>
      <c r="AD14" s="602"/>
      <c r="AE14" s="602"/>
      <c r="AF14" s="602"/>
      <c r="AG14" s="602"/>
      <c r="AI14" s="602"/>
    </row>
    <row r="15" spans="1:36">
      <c r="C15" s="5" t="s">
        <v>278</v>
      </c>
      <c r="E15" s="602">
        <v>0</v>
      </c>
      <c r="F15" s="602">
        <v>0</v>
      </c>
      <c r="G15" s="602">
        <v>0</v>
      </c>
      <c r="H15" s="602">
        <v>0</v>
      </c>
      <c r="I15" s="602">
        <v>0</v>
      </c>
      <c r="J15" s="602">
        <v>409</v>
      </c>
      <c r="K15" s="602">
        <v>0</v>
      </c>
      <c r="L15" s="602">
        <v>0</v>
      </c>
      <c r="M15" s="602">
        <v>0</v>
      </c>
      <c r="N15" s="602">
        <v>326</v>
      </c>
      <c r="O15" s="602">
        <v>0</v>
      </c>
      <c r="P15" s="602">
        <v>0</v>
      </c>
      <c r="Q15" s="602">
        <v>0</v>
      </c>
      <c r="R15" s="602">
        <v>12</v>
      </c>
      <c r="S15" s="602">
        <v>0</v>
      </c>
      <c r="T15" s="602">
        <v>0</v>
      </c>
      <c r="U15" s="602">
        <v>0</v>
      </c>
      <c r="V15" s="602">
        <v>0</v>
      </c>
      <c r="W15" s="602">
        <v>0</v>
      </c>
      <c r="X15" s="602">
        <v>0</v>
      </c>
      <c r="Y15" s="602">
        <v>0</v>
      </c>
      <c r="Z15" s="602">
        <v>0</v>
      </c>
      <c r="AA15" s="602">
        <v>0</v>
      </c>
      <c r="AB15" s="602">
        <v>0</v>
      </c>
      <c r="AC15" s="602">
        <v>0</v>
      </c>
      <c r="AD15" s="602">
        <v>0</v>
      </c>
      <c r="AE15" s="602">
        <v>0</v>
      </c>
      <c r="AF15" s="602">
        <v>0</v>
      </c>
      <c r="AG15" s="602">
        <v>0</v>
      </c>
      <c r="AI15" s="602">
        <v>0</v>
      </c>
    </row>
    <row r="16" spans="1:36">
      <c r="C16" s="5" t="s">
        <v>279</v>
      </c>
      <c r="E16" s="602">
        <v>12</v>
      </c>
      <c r="F16" s="602">
        <f>490</f>
        <v>490</v>
      </c>
      <c r="G16" s="602">
        <v>-167</v>
      </c>
      <c r="H16" s="602">
        <v>-164</v>
      </c>
      <c r="I16" s="602">
        <f>-9</f>
        <v>-9</v>
      </c>
      <c r="J16" s="602">
        <v>724</v>
      </c>
      <c r="K16" s="602">
        <v>-410</v>
      </c>
      <c r="L16" s="602">
        <v>-227</v>
      </c>
      <c r="M16" s="602">
        <f>97</f>
        <v>97</v>
      </c>
      <c r="N16" s="602">
        <f>859</f>
        <v>859</v>
      </c>
      <c r="O16" s="602">
        <v>-506</v>
      </c>
      <c r="P16" s="602">
        <v>-332</v>
      </c>
      <c r="Q16" s="602">
        <v>-105</v>
      </c>
      <c r="R16" s="602">
        <f>758</f>
        <v>758</v>
      </c>
      <c r="S16" s="602">
        <v>-447</v>
      </c>
      <c r="T16" s="602">
        <v>40</v>
      </c>
      <c r="U16" s="602">
        <f>-110</f>
        <v>-110</v>
      </c>
      <c r="V16" s="602">
        <f>607</f>
        <v>607</v>
      </c>
      <c r="W16" s="602">
        <v>-369</v>
      </c>
      <c r="X16" s="602">
        <v>-338</v>
      </c>
      <c r="Y16" s="602">
        <f>-32</f>
        <v>-32</v>
      </c>
      <c r="Z16" s="602">
        <v>509</v>
      </c>
      <c r="AA16" s="602">
        <v>-219</v>
      </c>
      <c r="AB16" s="602">
        <v>-220</v>
      </c>
      <c r="AC16" s="602">
        <v>180</v>
      </c>
      <c r="AD16" s="602">
        <v>475</v>
      </c>
      <c r="AE16" s="602">
        <v>-362</v>
      </c>
      <c r="AF16" s="602">
        <v>-181</v>
      </c>
      <c r="AG16" s="602">
        <v>26</v>
      </c>
      <c r="AI16" s="602">
        <v>-42</v>
      </c>
    </row>
    <row r="17" spans="1:35">
      <c r="C17" s="5" t="s">
        <v>82</v>
      </c>
      <c r="E17" s="602">
        <v>26</v>
      </c>
      <c r="F17" s="602">
        <v>43</v>
      </c>
      <c r="G17" s="602">
        <v>28</v>
      </c>
      <c r="H17" s="602">
        <v>43</v>
      </c>
      <c r="I17" s="602">
        <v>36</v>
      </c>
      <c r="J17" s="602">
        <v>47</v>
      </c>
      <c r="K17" s="602">
        <v>44</v>
      </c>
      <c r="L17" s="602">
        <f>17</f>
        <v>17</v>
      </c>
      <c r="M17" s="602">
        <f>34</f>
        <v>34</v>
      </c>
      <c r="N17" s="602">
        <f>37</f>
        <v>37</v>
      </c>
      <c r="O17" s="602">
        <v>23</v>
      </c>
      <c r="P17" s="602">
        <v>20</v>
      </c>
      <c r="Q17" s="602">
        <v>18</v>
      </c>
      <c r="R17" s="602">
        <f>43</f>
        <v>43</v>
      </c>
      <c r="S17" s="602">
        <v>21</v>
      </c>
      <c r="T17" s="602">
        <v>31</v>
      </c>
      <c r="U17" s="602">
        <f>34</f>
        <v>34</v>
      </c>
      <c r="V17" s="602">
        <f>40</f>
        <v>40</v>
      </c>
      <c r="W17" s="602">
        <v>26</v>
      </c>
      <c r="X17" s="602">
        <v>24</v>
      </c>
      <c r="Y17" s="602">
        <f>25</f>
        <v>25</v>
      </c>
      <c r="Z17" s="602">
        <v>34</v>
      </c>
      <c r="AA17" s="602">
        <v>30</v>
      </c>
      <c r="AB17" s="602">
        <v>22</v>
      </c>
      <c r="AC17" s="602">
        <v>22</v>
      </c>
      <c r="AD17" s="602">
        <v>29</v>
      </c>
      <c r="AE17" s="602">
        <v>23</v>
      </c>
      <c r="AF17" s="602">
        <v>21</v>
      </c>
      <c r="AG17" s="602">
        <v>28</v>
      </c>
      <c r="AI17" s="602">
        <v>101</v>
      </c>
    </row>
    <row r="18" spans="1:35" s="535" customFormat="1" ht="25.5" customHeight="1">
      <c r="A18" s="495"/>
      <c r="B18" s="495"/>
      <c r="C18" s="688" t="s">
        <v>291</v>
      </c>
      <c r="D18" s="688"/>
      <c r="E18" s="602">
        <v>0</v>
      </c>
      <c r="F18" s="602">
        <v>0</v>
      </c>
      <c r="G18" s="602">
        <v>0</v>
      </c>
      <c r="H18" s="602">
        <v>0</v>
      </c>
      <c r="I18" s="602">
        <v>0</v>
      </c>
      <c r="J18" s="602">
        <v>0</v>
      </c>
      <c r="K18" s="602">
        <v>0</v>
      </c>
      <c r="L18" s="602">
        <v>0</v>
      </c>
      <c r="M18" s="602">
        <v>0</v>
      </c>
      <c r="N18" s="602">
        <v>0</v>
      </c>
      <c r="O18" s="602">
        <v>0</v>
      </c>
      <c r="P18" s="602">
        <v>0</v>
      </c>
      <c r="Q18" s="602">
        <v>0</v>
      </c>
      <c r="R18" s="602">
        <v>0</v>
      </c>
      <c r="S18" s="602">
        <v>0</v>
      </c>
      <c r="T18" s="602">
        <v>0</v>
      </c>
      <c r="U18" s="602">
        <v>0</v>
      </c>
      <c r="V18" s="602">
        <v>0</v>
      </c>
      <c r="W18" s="602">
        <v>0</v>
      </c>
      <c r="X18" s="602">
        <v>0</v>
      </c>
      <c r="Y18" s="602">
        <v>62</v>
      </c>
      <c r="Z18" s="602">
        <v>18</v>
      </c>
      <c r="AA18" s="602">
        <v>0</v>
      </c>
      <c r="AB18" s="602">
        <v>0</v>
      </c>
      <c r="AC18" s="602">
        <v>48</v>
      </c>
      <c r="AD18" s="602">
        <v>-36</v>
      </c>
      <c r="AE18" s="602">
        <v>0</v>
      </c>
      <c r="AF18" s="602">
        <v>0</v>
      </c>
      <c r="AG18" s="602">
        <v>0</v>
      </c>
      <c r="AI18" s="602">
        <v>-36</v>
      </c>
    </row>
    <row r="19" spans="1:35">
      <c r="C19" s="5" t="s">
        <v>280</v>
      </c>
      <c r="E19" s="602">
        <v>61</v>
      </c>
      <c r="F19" s="602">
        <v>32</v>
      </c>
      <c r="G19" s="602">
        <v>15</v>
      </c>
      <c r="H19" s="602">
        <v>15</v>
      </c>
      <c r="I19" s="602">
        <v>-1</v>
      </c>
      <c r="J19" s="602">
        <v>-6</v>
      </c>
      <c r="K19" s="602">
        <v>3</v>
      </c>
      <c r="L19" s="602">
        <v>1</v>
      </c>
      <c r="M19" s="602">
        <v>0</v>
      </c>
      <c r="N19" s="602">
        <v>-1</v>
      </c>
      <c r="O19" s="602">
        <v>19</v>
      </c>
      <c r="P19" s="602">
        <v>3</v>
      </c>
      <c r="Q19" s="602">
        <f>3</f>
        <v>3</v>
      </c>
      <c r="R19" s="602">
        <v>2</v>
      </c>
      <c r="S19" s="602">
        <v>0</v>
      </c>
      <c r="T19" s="602">
        <v>0</v>
      </c>
      <c r="U19" s="602">
        <v>0</v>
      </c>
      <c r="V19" s="602">
        <v>0</v>
      </c>
      <c r="W19" s="602">
        <v>0</v>
      </c>
      <c r="X19" s="602">
        <v>0</v>
      </c>
      <c r="Y19" s="602">
        <v>0</v>
      </c>
      <c r="Z19" s="602">
        <v>0</v>
      </c>
      <c r="AA19" s="602">
        <v>0</v>
      </c>
      <c r="AB19" s="602">
        <v>0</v>
      </c>
      <c r="AC19" s="602">
        <v>0</v>
      </c>
      <c r="AD19" s="602">
        <v>0</v>
      </c>
      <c r="AE19" s="602">
        <v>0</v>
      </c>
      <c r="AF19" s="602">
        <v>0</v>
      </c>
      <c r="AG19" s="602">
        <v>0</v>
      </c>
      <c r="AI19" s="602">
        <v>0</v>
      </c>
    </row>
    <row r="20" spans="1:35">
      <c r="C20" s="5" t="s">
        <v>281</v>
      </c>
      <c r="E20" s="602">
        <v>17</v>
      </c>
      <c r="F20" s="602">
        <v>12</v>
      </c>
      <c r="G20" s="602">
        <v>14</v>
      </c>
      <c r="H20" s="602">
        <v>3</v>
      </c>
      <c r="I20" s="602">
        <v>7</v>
      </c>
      <c r="J20" s="602">
        <v>0</v>
      </c>
      <c r="K20" s="602">
        <v>0</v>
      </c>
      <c r="L20" s="602">
        <v>0</v>
      </c>
      <c r="M20" s="602">
        <v>0</v>
      </c>
      <c r="N20" s="602">
        <v>0</v>
      </c>
      <c r="O20" s="602">
        <v>0</v>
      </c>
      <c r="P20" s="602">
        <v>0</v>
      </c>
      <c r="Q20" s="602">
        <v>0</v>
      </c>
      <c r="R20" s="602">
        <v>0</v>
      </c>
      <c r="S20" s="602">
        <v>0</v>
      </c>
      <c r="T20" s="602">
        <v>0</v>
      </c>
      <c r="U20" s="602">
        <v>0</v>
      </c>
      <c r="V20" s="602">
        <v>0</v>
      </c>
      <c r="W20" s="602">
        <v>0</v>
      </c>
      <c r="X20" s="602">
        <v>0</v>
      </c>
      <c r="Y20" s="602">
        <v>0</v>
      </c>
      <c r="Z20" s="602">
        <v>0</v>
      </c>
      <c r="AA20" s="602">
        <v>0</v>
      </c>
      <c r="AB20" s="602">
        <v>0</v>
      </c>
      <c r="AC20" s="602">
        <v>0</v>
      </c>
      <c r="AD20" s="602">
        <v>0</v>
      </c>
      <c r="AE20" s="602">
        <v>0</v>
      </c>
      <c r="AF20" s="602">
        <v>0</v>
      </c>
      <c r="AG20" s="602">
        <v>0</v>
      </c>
      <c r="AI20" s="602">
        <v>0</v>
      </c>
    </row>
    <row r="21" spans="1:35">
      <c r="C21" s="5" t="s">
        <v>282</v>
      </c>
      <c r="E21" s="602">
        <v>110</v>
      </c>
      <c r="F21" s="602">
        <v>15</v>
      </c>
      <c r="G21" s="602">
        <v>4</v>
      </c>
      <c r="H21" s="602">
        <f>3</f>
        <v>3</v>
      </c>
      <c r="I21" s="602">
        <v>0</v>
      </c>
      <c r="J21" s="602">
        <v>0</v>
      </c>
      <c r="K21" s="602">
        <v>0</v>
      </c>
      <c r="L21" s="602">
        <v>0</v>
      </c>
      <c r="M21" s="602">
        <v>0</v>
      </c>
      <c r="N21" s="602">
        <v>0</v>
      </c>
      <c r="O21" s="602">
        <v>0</v>
      </c>
      <c r="P21" s="602">
        <v>0</v>
      </c>
      <c r="Q21" s="602">
        <v>0</v>
      </c>
      <c r="R21" s="602">
        <v>0</v>
      </c>
      <c r="S21" s="602">
        <v>0</v>
      </c>
      <c r="T21" s="602">
        <v>0</v>
      </c>
      <c r="U21" s="602">
        <v>0</v>
      </c>
      <c r="V21" s="602">
        <v>0</v>
      </c>
      <c r="W21" s="602">
        <v>0</v>
      </c>
      <c r="X21" s="602">
        <v>0</v>
      </c>
      <c r="Y21" s="602">
        <v>0</v>
      </c>
      <c r="Z21" s="602">
        <v>0</v>
      </c>
      <c r="AA21" s="602">
        <v>0</v>
      </c>
      <c r="AB21" s="602">
        <v>0</v>
      </c>
      <c r="AC21" s="602">
        <v>0</v>
      </c>
      <c r="AD21" s="602">
        <v>0</v>
      </c>
      <c r="AE21" s="602">
        <v>0</v>
      </c>
      <c r="AF21" s="602">
        <v>0</v>
      </c>
      <c r="AG21" s="602">
        <v>0</v>
      </c>
      <c r="AI21" s="602">
        <v>0</v>
      </c>
    </row>
    <row r="22" spans="1:35">
      <c r="C22" s="5" t="s">
        <v>283</v>
      </c>
      <c r="E22" s="602">
        <v>-6</v>
      </c>
      <c r="F22" s="602">
        <v>-4</v>
      </c>
      <c r="G22" s="602">
        <v>-6</v>
      </c>
      <c r="H22" s="602">
        <v>2</v>
      </c>
      <c r="I22" s="602">
        <f>-9</f>
        <v>-9</v>
      </c>
      <c r="J22" s="602">
        <v>4</v>
      </c>
      <c r="K22" s="602">
        <v>0</v>
      </c>
      <c r="L22" s="602">
        <v>0</v>
      </c>
      <c r="M22" s="602">
        <v>-13</v>
      </c>
      <c r="N22" s="602">
        <v>-7</v>
      </c>
      <c r="O22" s="602">
        <v>0</v>
      </c>
      <c r="P22" s="602">
        <v>0</v>
      </c>
      <c r="Q22" s="602">
        <v>0</v>
      </c>
      <c r="R22" s="602">
        <v>7</v>
      </c>
      <c r="S22" s="602">
        <v>0</v>
      </c>
      <c r="T22" s="602">
        <v>0</v>
      </c>
      <c r="U22" s="602">
        <v>0</v>
      </c>
      <c r="V22" s="602">
        <v>-1</v>
      </c>
      <c r="W22" s="602">
        <v>0</v>
      </c>
      <c r="X22" s="602">
        <v>0</v>
      </c>
      <c r="Y22" s="602">
        <v>0</v>
      </c>
      <c r="Z22" s="602">
        <v>0</v>
      </c>
      <c r="AA22" s="602">
        <v>0</v>
      </c>
      <c r="AB22" s="602">
        <v>0</v>
      </c>
      <c r="AC22" s="602">
        <v>0</v>
      </c>
      <c r="AD22" s="602">
        <v>0</v>
      </c>
      <c r="AE22" s="602">
        <v>0</v>
      </c>
      <c r="AF22" s="602">
        <v>0</v>
      </c>
      <c r="AG22" s="602">
        <v>0</v>
      </c>
      <c r="AI22" s="602">
        <v>0</v>
      </c>
    </row>
    <row r="23" spans="1:35" ht="12.75" thickBot="1">
      <c r="B23" s="599" t="s">
        <v>277</v>
      </c>
      <c r="E23" s="608">
        <f>SUM(E13:E22)</f>
        <v>108</v>
      </c>
      <c r="F23" s="608">
        <f t="shared" ref="F23:X23" si="5">SUM(F13:F22)</f>
        <v>684</v>
      </c>
      <c r="G23" s="608">
        <f>SUM(G13:G22)</f>
        <v>138</v>
      </c>
      <c r="H23" s="608">
        <f t="shared" si="5"/>
        <v>179</v>
      </c>
      <c r="I23" s="608">
        <f t="shared" si="5"/>
        <v>100</v>
      </c>
      <c r="J23" s="608">
        <f t="shared" si="5"/>
        <v>904</v>
      </c>
      <c r="K23" s="608">
        <f t="shared" si="5"/>
        <v>181</v>
      </c>
      <c r="L23" s="608">
        <f t="shared" si="5"/>
        <v>117</v>
      </c>
      <c r="M23" s="608">
        <f t="shared" si="5"/>
        <v>224</v>
      </c>
      <c r="N23" s="608">
        <f t="shared" si="5"/>
        <v>926</v>
      </c>
      <c r="O23" s="608">
        <f t="shared" si="5"/>
        <v>236</v>
      </c>
      <c r="P23" s="608">
        <f t="shared" si="5"/>
        <v>183</v>
      </c>
      <c r="Q23" s="608">
        <f t="shared" si="5"/>
        <v>103</v>
      </c>
      <c r="R23" s="608">
        <f t="shared" si="5"/>
        <v>911</v>
      </c>
      <c r="S23" s="608">
        <f t="shared" si="5"/>
        <v>110</v>
      </c>
      <c r="T23" s="608">
        <f t="shared" si="5"/>
        <v>321</v>
      </c>
      <c r="U23" s="608">
        <f t="shared" si="5"/>
        <v>175</v>
      </c>
      <c r="V23" s="608">
        <f t="shared" si="5"/>
        <v>1183</v>
      </c>
      <c r="W23" s="608">
        <f t="shared" si="5"/>
        <v>268</v>
      </c>
      <c r="X23" s="608">
        <f t="shared" si="5"/>
        <v>139</v>
      </c>
      <c r="Y23" s="608">
        <f t="shared" ref="Y23:AD23" si="6">SUM(Y13:Y22)</f>
        <v>146</v>
      </c>
      <c r="Z23" s="608">
        <f t="shared" si="6"/>
        <v>886</v>
      </c>
      <c r="AA23" s="608">
        <f t="shared" si="6"/>
        <v>257</v>
      </c>
      <c r="AB23" s="608">
        <f t="shared" si="6"/>
        <v>131</v>
      </c>
      <c r="AC23" s="608">
        <f t="shared" si="6"/>
        <v>280</v>
      </c>
      <c r="AD23" s="608">
        <f t="shared" si="6"/>
        <v>936</v>
      </c>
      <c r="AE23" s="608">
        <f t="shared" ref="AE23:AF23" si="7">SUM(AE13:AE22)</f>
        <v>223</v>
      </c>
      <c r="AF23" s="608">
        <f t="shared" si="7"/>
        <v>193</v>
      </c>
      <c r="AG23" s="608">
        <f>SUM(AG13:AG22)</f>
        <v>275</v>
      </c>
      <c r="AI23" s="608">
        <f>SUM(AI13:AI22)</f>
        <v>1626</v>
      </c>
    </row>
    <row r="24" spans="1:35" ht="12.75" thickTop="1">
      <c r="E24" s="535"/>
      <c r="F24" s="535"/>
      <c r="G24" s="535"/>
      <c r="Q24" s="535"/>
      <c r="R24" s="535"/>
      <c r="S24" s="535"/>
      <c r="T24" s="535"/>
      <c r="U24" s="535"/>
      <c r="V24" s="535"/>
      <c r="W24" s="535"/>
      <c r="X24" s="535"/>
      <c r="Y24" s="535"/>
      <c r="Z24" s="535"/>
      <c r="AA24" s="535"/>
      <c r="AB24" s="535"/>
      <c r="AC24" s="535"/>
      <c r="AD24" s="535"/>
      <c r="AE24" s="535"/>
      <c r="AF24" s="535"/>
      <c r="AG24" s="535"/>
      <c r="AI24" s="535"/>
    </row>
    <row r="25" spans="1:35" ht="14.25">
      <c r="B25" s="509" t="s">
        <v>224</v>
      </c>
      <c r="E25" s="535"/>
      <c r="F25" s="535"/>
      <c r="G25" s="535"/>
      <c r="Q25" s="535"/>
      <c r="R25" s="535"/>
      <c r="S25" s="535"/>
      <c r="T25" s="535"/>
      <c r="U25" s="535"/>
      <c r="V25" s="535"/>
      <c r="W25" s="535"/>
      <c r="X25" s="535"/>
      <c r="Y25" s="535"/>
      <c r="Z25" s="535"/>
      <c r="AA25" s="535"/>
      <c r="AB25" s="535"/>
      <c r="AC25" s="535"/>
      <c r="AD25" s="535"/>
      <c r="AE25" s="535"/>
      <c r="AF25" s="535"/>
      <c r="AG25" s="535"/>
      <c r="AI25" s="535"/>
    </row>
    <row r="27" spans="1:35">
      <c r="B27" s="5" t="s">
        <v>306</v>
      </c>
    </row>
    <row r="28" spans="1:35">
      <c r="G28" s="535"/>
    </row>
    <row r="29" spans="1:35">
      <c r="G29" s="604"/>
      <c r="H29" s="604"/>
      <c r="I29" s="604"/>
      <c r="J29" s="604"/>
      <c r="K29" s="604"/>
      <c r="L29" s="604"/>
      <c r="M29" s="604"/>
      <c r="N29" s="604"/>
      <c r="O29" s="604"/>
      <c r="P29" s="604"/>
      <c r="Q29" s="604"/>
      <c r="R29" s="604"/>
      <c r="S29" s="604"/>
      <c r="T29" s="604"/>
      <c r="U29" s="604"/>
      <c r="V29" s="604"/>
      <c r="W29" s="604"/>
      <c r="X29" s="604"/>
    </row>
  </sheetData>
  <mergeCells count="4">
    <mergeCell ref="A1:AJ1"/>
    <mergeCell ref="A2:AJ2"/>
    <mergeCell ref="A3:AJ3"/>
    <mergeCell ref="C18:D18"/>
  </mergeCells>
  <pageMargins left="0.7" right="0.7" top="0.25" bottom="0.44" header="0.3" footer="0.3"/>
  <pageSetup scale="37" orientation="landscape" r:id="rId1"/>
  <headerFooter>
    <oddFooter>&amp;LActivision Blizzard, Inc.&amp;R&amp;P of &amp; 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AH47"/>
  <sheetViews>
    <sheetView showGridLines="0" zoomScaleNormal="100" zoomScaleSheetLayoutView="100" workbookViewId="0">
      <pane xSplit="4" ySplit="8" topLeftCell="Z21" activePane="bottomRight" state="frozen"/>
      <selection sqref="A1:AE1"/>
      <selection pane="topRight" sqref="A1:AE1"/>
      <selection pane="bottomLeft" sqref="A1:AE1"/>
      <selection pane="bottomRight" activeCell="D40" sqref="D40"/>
    </sheetView>
  </sheetViews>
  <sheetFormatPr defaultColWidth="11.42578125" defaultRowHeight="12"/>
  <cols>
    <col min="1" max="1" width="2.85546875" style="324" customWidth="1"/>
    <col min="2" max="2" width="2" style="324" customWidth="1"/>
    <col min="3" max="3" width="2.85546875" style="324" customWidth="1"/>
    <col min="4" max="4" width="45.7109375" style="324" customWidth="1"/>
    <col min="5" max="5" width="9.7109375" style="346" customWidth="1"/>
    <col min="6" max="7" width="9.7109375" style="347" customWidth="1"/>
    <col min="8" max="11" width="9.7109375" style="416" customWidth="1"/>
    <col min="12" max="33" width="9.7109375" style="415" customWidth="1"/>
    <col min="34" max="34" width="1.42578125" style="324" customWidth="1"/>
    <col min="35" max="16384" width="11.42578125" style="324"/>
  </cols>
  <sheetData>
    <row r="1" spans="2:34">
      <c r="B1" s="689" t="s">
        <v>73</v>
      </c>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row>
    <row r="2" spans="2:34" ht="12.75" customHeight="1">
      <c r="B2" s="689" t="s">
        <v>248</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row>
    <row r="3" spans="2:34" s="325" customFormat="1" ht="12.75" customHeight="1">
      <c r="B3" s="689" t="s">
        <v>74</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row>
    <row r="4" spans="2:34" s="325" customFormat="1" ht="12.75" customHeight="1">
      <c r="B4" s="326"/>
      <c r="C4" s="326"/>
      <c r="D4" s="326"/>
      <c r="E4" s="326"/>
      <c r="F4" s="326"/>
      <c r="G4" s="326"/>
      <c r="H4" s="417"/>
      <c r="I4" s="417"/>
      <c r="J4" s="417"/>
      <c r="K4" s="417"/>
      <c r="L4" s="417"/>
      <c r="M4" s="417"/>
      <c r="N4" s="417"/>
      <c r="O4" s="417"/>
      <c r="P4" s="416"/>
      <c r="Q4" s="416"/>
      <c r="R4" s="416"/>
      <c r="S4" s="416"/>
      <c r="T4" s="416"/>
      <c r="U4" s="416"/>
      <c r="V4" s="416"/>
      <c r="W4" s="416"/>
      <c r="X4" s="416"/>
      <c r="Y4" s="416"/>
      <c r="Z4" s="416"/>
      <c r="AA4" s="416"/>
      <c r="AB4" s="416"/>
      <c r="AC4" s="416"/>
      <c r="AD4" s="416"/>
      <c r="AE4" s="416"/>
      <c r="AF4" s="416"/>
      <c r="AG4" s="416"/>
    </row>
    <row r="5" spans="2:34" s="325" customFormat="1" ht="12.75" customHeight="1">
      <c r="E5" s="327"/>
      <c r="F5" s="328"/>
      <c r="G5" s="328"/>
      <c r="H5" s="418"/>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row>
    <row r="6" spans="2:34" s="325" customFormat="1" ht="12.75" customHeight="1">
      <c r="E6" s="436" t="s">
        <v>217</v>
      </c>
      <c r="F6" s="326" t="s">
        <v>6</v>
      </c>
      <c r="G6" s="326" t="s">
        <v>3</v>
      </c>
      <c r="H6" s="417" t="s">
        <v>4</v>
      </c>
      <c r="I6" s="419" t="s">
        <v>5</v>
      </c>
      <c r="J6" s="419" t="s">
        <v>6</v>
      </c>
      <c r="K6" s="419" t="s">
        <v>3</v>
      </c>
      <c r="L6" s="419" t="s">
        <v>4</v>
      </c>
      <c r="M6" s="419" t="s">
        <v>5</v>
      </c>
      <c r="N6" s="419" t="s">
        <v>6</v>
      </c>
      <c r="O6" s="419" t="s">
        <v>3</v>
      </c>
      <c r="P6" s="419" t="s">
        <v>4</v>
      </c>
      <c r="Q6" s="419" t="s">
        <v>5</v>
      </c>
      <c r="R6" s="419" t="s">
        <v>6</v>
      </c>
      <c r="S6" s="419" t="s">
        <v>3</v>
      </c>
      <c r="T6" s="419" t="s">
        <v>4</v>
      </c>
      <c r="U6" s="419" t="s">
        <v>5</v>
      </c>
      <c r="V6" s="419" t="s">
        <v>6</v>
      </c>
      <c r="W6" s="419" t="s">
        <v>3</v>
      </c>
      <c r="X6" s="419" t="s">
        <v>4</v>
      </c>
      <c r="Y6" s="419" t="s">
        <v>5</v>
      </c>
      <c r="Z6" s="419" t="s">
        <v>6</v>
      </c>
      <c r="AA6" s="419" t="s">
        <v>3</v>
      </c>
      <c r="AB6" s="419" t="s">
        <v>4</v>
      </c>
      <c r="AC6" s="419" t="s">
        <v>5</v>
      </c>
      <c r="AD6" s="419" t="s">
        <v>6</v>
      </c>
      <c r="AE6" s="419" t="s">
        <v>3</v>
      </c>
      <c r="AF6" s="419" t="s">
        <v>4</v>
      </c>
      <c r="AG6" s="419" t="s">
        <v>5</v>
      </c>
    </row>
    <row r="7" spans="2:34" s="325" customFormat="1" ht="12.75" customHeight="1" thickBot="1">
      <c r="E7" s="330" t="s">
        <v>43</v>
      </c>
      <c r="F7" s="331" t="s">
        <v>43</v>
      </c>
      <c r="G7" s="331" t="s">
        <v>44</v>
      </c>
      <c r="H7" s="420" t="s">
        <v>44</v>
      </c>
      <c r="I7" s="419" t="s">
        <v>44</v>
      </c>
      <c r="J7" s="419" t="s">
        <v>44</v>
      </c>
      <c r="K7" s="419" t="s">
        <v>45</v>
      </c>
      <c r="L7" s="419" t="s">
        <v>45</v>
      </c>
      <c r="M7" s="419" t="s">
        <v>45</v>
      </c>
      <c r="N7" s="419" t="s">
        <v>45</v>
      </c>
      <c r="O7" s="419" t="s">
        <v>46</v>
      </c>
      <c r="P7" s="419" t="s">
        <v>46</v>
      </c>
      <c r="Q7" s="419" t="s">
        <v>46</v>
      </c>
      <c r="R7" s="419" t="s">
        <v>46</v>
      </c>
      <c r="S7" s="419" t="s">
        <v>237</v>
      </c>
      <c r="T7" s="419" t="s">
        <v>237</v>
      </c>
      <c r="U7" s="419" t="s">
        <v>237</v>
      </c>
      <c r="V7" s="419" t="s">
        <v>237</v>
      </c>
      <c r="W7" s="419" t="s">
        <v>264</v>
      </c>
      <c r="X7" s="419" t="s">
        <v>264</v>
      </c>
      <c r="Y7" s="419" t="s">
        <v>264</v>
      </c>
      <c r="Z7" s="419" t="s">
        <v>264</v>
      </c>
      <c r="AA7" s="419" t="s">
        <v>307</v>
      </c>
      <c r="AB7" s="419" t="s">
        <v>307</v>
      </c>
      <c r="AC7" s="419" t="s">
        <v>307</v>
      </c>
      <c r="AD7" s="419" t="s">
        <v>307</v>
      </c>
      <c r="AE7" s="419" t="s">
        <v>332</v>
      </c>
      <c r="AF7" s="419" t="s">
        <v>332</v>
      </c>
      <c r="AG7" s="419" t="s">
        <v>332</v>
      </c>
    </row>
    <row r="8" spans="2:34" s="325" customFormat="1" ht="12.75" customHeight="1">
      <c r="B8" s="338" t="s">
        <v>75</v>
      </c>
      <c r="C8" s="350"/>
      <c r="D8" s="350"/>
      <c r="E8" s="332"/>
      <c r="F8" s="332"/>
      <c r="G8" s="332"/>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row>
    <row r="9" spans="2:34" s="325" customFormat="1" ht="12.75" customHeight="1">
      <c r="C9" s="325" t="s">
        <v>183</v>
      </c>
      <c r="E9" s="333">
        <v>364</v>
      </c>
      <c r="F9" s="333">
        <v>1695</v>
      </c>
      <c r="G9" s="333">
        <v>348</v>
      </c>
      <c r="H9" s="422">
        <v>448</v>
      </c>
      <c r="I9" s="423">
        <v>415</v>
      </c>
      <c r="J9" s="423">
        <v>1945</v>
      </c>
      <c r="K9" s="423">
        <v>337</v>
      </c>
      <c r="L9" s="423">
        <v>333</v>
      </c>
      <c r="M9" s="423">
        <v>314</v>
      </c>
      <c r="N9" s="423">
        <v>1785</v>
      </c>
      <c r="O9" s="423">
        <v>323</v>
      </c>
      <c r="P9" s="423">
        <v>323</v>
      </c>
      <c r="Q9" s="423">
        <v>253</v>
      </c>
      <c r="R9" s="423">
        <v>1929</v>
      </c>
      <c r="S9" s="423">
        <v>271</v>
      </c>
      <c r="T9" s="423">
        <v>373</v>
      </c>
      <c r="U9" s="423">
        <v>283</v>
      </c>
      <c r="V9" s="423">
        <v>2145</v>
      </c>
      <c r="W9" s="423">
        <v>423</v>
      </c>
      <c r="X9" s="423">
        <v>347</v>
      </c>
      <c r="Y9" s="423">
        <v>319</v>
      </c>
      <c r="Z9" s="423">
        <v>1805</v>
      </c>
      <c r="AA9" s="423">
        <v>237</v>
      </c>
      <c r="AB9" s="423">
        <v>252</v>
      </c>
      <c r="AC9" s="423">
        <v>704</v>
      </c>
      <c r="AD9" s="423">
        <v>1492</v>
      </c>
      <c r="AE9" s="423">
        <v>303</v>
      </c>
      <c r="AF9" s="423">
        <v>313</v>
      </c>
      <c r="AG9" s="423">
        <v>591</v>
      </c>
    </row>
    <row r="10" spans="2:34" s="325" customFormat="1" ht="12.75" customHeight="1">
      <c r="C10" s="325" t="s">
        <v>184</v>
      </c>
      <c r="E10" s="333">
        <v>297</v>
      </c>
      <c r="F10" s="333">
        <v>477</v>
      </c>
      <c r="G10" s="333">
        <v>291</v>
      </c>
      <c r="H10" s="424">
        <v>290</v>
      </c>
      <c r="I10" s="423">
        <v>286</v>
      </c>
      <c r="J10" s="423">
        <v>329</v>
      </c>
      <c r="K10" s="423">
        <v>306</v>
      </c>
      <c r="L10" s="423">
        <v>299</v>
      </c>
      <c r="M10" s="423">
        <v>481</v>
      </c>
      <c r="N10" s="423">
        <v>570</v>
      </c>
      <c r="O10" s="423">
        <v>357</v>
      </c>
      <c r="P10" s="423">
        <v>313</v>
      </c>
      <c r="Q10" s="423">
        <v>297</v>
      </c>
      <c r="R10" s="423">
        <v>276</v>
      </c>
      <c r="S10" s="423">
        <v>251</v>
      </c>
      <c r="T10" s="423">
        <v>634</v>
      </c>
      <c r="U10" s="423">
        <v>414</v>
      </c>
      <c r="V10" s="423">
        <v>310</v>
      </c>
      <c r="W10" s="423">
        <v>330</v>
      </c>
      <c r="X10" s="423">
        <v>224</v>
      </c>
      <c r="Y10" s="423">
        <v>282</v>
      </c>
      <c r="Z10" s="423">
        <v>287</v>
      </c>
      <c r="AA10" s="423">
        <v>462</v>
      </c>
      <c r="AB10" s="423">
        <v>340</v>
      </c>
      <c r="AC10" s="423">
        <v>388</v>
      </c>
      <c r="AD10" s="423">
        <v>531</v>
      </c>
      <c r="AE10" s="423">
        <v>352</v>
      </c>
      <c r="AF10" s="423">
        <v>385</v>
      </c>
      <c r="AG10" s="423">
        <v>369</v>
      </c>
    </row>
    <row r="11" spans="2:34" s="325" customFormat="1" ht="12.75" customHeight="1">
      <c r="C11" s="325" t="s">
        <v>185</v>
      </c>
      <c r="E11" s="335">
        <v>56</v>
      </c>
      <c r="F11" s="335">
        <v>171</v>
      </c>
      <c r="G11" s="335">
        <v>85</v>
      </c>
      <c r="H11" s="425">
        <v>63</v>
      </c>
      <c r="I11" s="426">
        <v>54</v>
      </c>
      <c r="J11" s="426">
        <v>221</v>
      </c>
      <c r="K11" s="426">
        <v>71</v>
      </c>
      <c r="L11" s="426">
        <v>51</v>
      </c>
      <c r="M11" s="426">
        <v>62</v>
      </c>
      <c r="N11" s="426">
        <v>193</v>
      </c>
      <c r="O11" s="426">
        <v>75</v>
      </c>
      <c r="P11" s="426">
        <v>63</v>
      </c>
      <c r="Q11" s="426">
        <v>77</v>
      </c>
      <c r="R11" s="426">
        <v>203</v>
      </c>
      <c r="S11" s="426">
        <v>65</v>
      </c>
      <c r="T11" s="426">
        <v>47</v>
      </c>
      <c r="U11" s="426">
        <v>54</v>
      </c>
      <c r="V11" s="426">
        <v>140</v>
      </c>
      <c r="W11" s="426">
        <v>51</v>
      </c>
      <c r="X11" s="426">
        <v>37</v>
      </c>
      <c r="Y11" s="426">
        <v>56</v>
      </c>
      <c r="Z11" s="426">
        <v>180</v>
      </c>
      <c r="AA11" s="426">
        <v>73</v>
      </c>
      <c r="AB11" s="426">
        <v>66</v>
      </c>
      <c r="AC11" s="426">
        <v>78</v>
      </c>
      <c r="AD11" s="426">
        <v>190</v>
      </c>
      <c r="AE11" s="426">
        <v>48</v>
      </c>
      <c r="AF11" s="426">
        <v>61</v>
      </c>
      <c r="AG11" s="426">
        <v>80</v>
      </c>
    </row>
    <row r="12" spans="2:34" s="325" customFormat="1" ht="12.75" customHeight="1">
      <c r="C12" s="325" t="s">
        <v>76</v>
      </c>
      <c r="E12" s="334">
        <f>SUM(E9:E11)</f>
        <v>717</v>
      </c>
      <c r="F12" s="334">
        <f t="shared" ref="F12:N12" si="0">SUM(F9:F11)</f>
        <v>2343</v>
      </c>
      <c r="G12" s="334">
        <f t="shared" si="0"/>
        <v>724</v>
      </c>
      <c r="H12" s="423">
        <f t="shared" si="0"/>
        <v>801</v>
      </c>
      <c r="I12" s="423">
        <f t="shared" si="0"/>
        <v>755</v>
      </c>
      <c r="J12" s="423">
        <f t="shared" si="0"/>
        <v>2495</v>
      </c>
      <c r="K12" s="423">
        <f t="shared" si="0"/>
        <v>714</v>
      </c>
      <c r="L12" s="423">
        <f t="shared" si="0"/>
        <v>683</v>
      </c>
      <c r="M12" s="423">
        <f t="shared" si="0"/>
        <v>857</v>
      </c>
      <c r="N12" s="423">
        <f t="shared" si="0"/>
        <v>2548</v>
      </c>
      <c r="O12" s="423">
        <f t="shared" ref="O12:T12" si="1">SUM(O9:O11)</f>
        <v>755</v>
      </c>
      <c r="P12" s="423">
        <f t="shared" si="1"/>
        <v>699</v>
      </c>
      <c r="Q12" s="423">
        <f t="shared" si="1"/>
        <v>627</v>
      </c>
      <c r="R12" s="423">
        <f t="shared" si="1"/>
        <v>2408</v>
      </c>
      <c r="S12" s="423">
        <f t="shared" si="1"/>
        <v>587</v>
      </c>
      <c r="T12" s="423">
        <f t="shared" si="1"/>
        <v>1054</v>
      </c>
      <c r="U12" s="423">
        <f t="shared" ref="U12:V12" si="2">SUM(U9:U11)</f>
        <v>751</v>
      </c>
      <c r="V12" s="423">
        <f t="shared" si="2"/>
        <v>2595</v>
      </c>
      <c r="W12" s="423">
        <f t="shared" ref="W12:X12" si="3">SUM(W9:W11)</f>
        <v>804</v>
      </c>
      <c r="X12" s="423">
        <f t="shared" si="3"/>
        <v>608</v>
      </c>
      <c r="Y12" s="423">
        <f t="shared" ref="Y12:Z12" si="4">SUM(Y9:Y11)</f>
        <v>657</v>
      </c>
      <c r="Z12" s="423">
        <f t="shared" si="4"/>
        <v>2272</v>
      </c>
      <c r="AA12" s="423">
        <f t="shared" ref="AA12:AB12" si="5">SUM(AA9:AA11)</f>
        <v>772</v>
      </c>
      <c r="AB12" s="423">
        <f t="shared" si="5"/>
        <v>658</v>
      </c>
      <c r="AC12" s="423">
        <f t="shared" ref="AC12:AD12" si="6">SUM(AC9:AC11)</f>
        <v>1170</v>
      </c>
      <c r="AD12" s="423">
        <f t="shared" si="6"/>
        <v>2213</v>
      </c>
      <c r="AE12" s="423">
        <f t="shared" ref="AE12:AF12" si="7">SUM(AE9:AE11)</f>
        <v>703</v>
      </c>
      <c r="AF12" s="423">
        <f t="shared" si="7"/>
        <v>759</v>
      </c>
      <c r="AG12" s="423">
        <f>SUM(AG9:AG11)</f>
        <v>1040</v>
      </c>
    </row>
    <row r="13" spans="2:34" s="325" customFormat="1" ht="12.75" customHeight="1">
      <c r="D13" s="385"/>
      <c r="E13" s="333"/>
      <c r="F13" s="337"/>
      <c r="G13" s="333"/>
      <c r="H13" s="424"/>
      <c r="I13" s="423"/>
      <c r="J13" s="423"/>
      <c r="K13" s="423"/>
      <c r="L13" s="424"/>
      <c r="M13" s="423"/>
      <c r="N13" s="423"/>
      <c r="O13" s="423"/>
      <c r="P13" s="423"/>
      <c r="Q13" s="423"/>
      <c r="R13" s="423"/>
      <c r="S13" s="423"/>
      <c r="T13" s="423"/>
      <c r="U13" s="423"/>
      <c r="V13" s="423"/>
      <c r="W13" s="423"/>
      <c r="X13" s="423"/>
      <c r="Y13" s="423"/>
      <c r="Z13" s="423"/>
      <c r="AA13" s="423"/>
      <c r="AB13" s="423"/>
      <c r="AC13" s="423"/>
      <c r="AD13" s="423"/>
      <c r="AE13" s="423"/>
      <c r="AF13" s="423"/>
      <c r="AG13" s="423"/>
    </row>
    <row r="14" spans="2:34" s="325" customFormat="1" ht="12.75" customHeight="1">
      <c r="B14" s="338" t="s">
        <v>77</v>
      </c>
      <c r="E14" s="333"/>
      <c r="F14" s="337"/>
      <c r="G14" s="333"/>
      <c r="H14" s="424"/>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row>
    <row r="15" spans="2:34" s="325" customFormat="1" ht="12.75" customHeight="1">
      <c r="C15" s="325" t="s">
        <v>78</v>
      </c>
      <c r="E15" s="333">
        <v>-12</v>
      </c>
      <c r="F15" s="337">
        <v>-705</v>
      </c>
      <c r="G15" s="333">
        <v>256</v>
      </c>
      <c r="H15" s="424">
        <v>237</v>
      </c>
      <c r="I15" s="423">
        <v>-52</v>
      </c>
      <c r="J15" s="423">
        <v>-938</v>
      </c>
      <c r="K15" s="423">
        <v>594</v>
      </c>
      <c r="L15" s="423">
        <v>284</v>
      </c>
      <c r="M15" s="423">
        <v>-112</v>
      </c>
      <c r="N15" s="423">
        <v>-1121</v>
      </c>
      <c r="O15" s="423">
        <v>694</v>
      </c>
      <c r="P15" s="423">
        <v>447</v>
      </c>
      <c r="Q15" s="423">
        <v>127</v>
      </c>
      <c r="R15" s="423">
        <v>-1001</v>
      </c>
      <c r="S15" s="423">
        <v>585</v>
      </c>
      <c r="T15" s="423">
        <v>21</v>
      </c>
      <c r="U15" s="423">
        <v>90</v>
      </c>
      <c r="V15" s="423">
        <v>-827</v>
      </c>
      <c r="W15" s="423">
        <v>520</v>
      </c>
      <c r="X15" s="423">
        <v>442</v>
      </c>
      <c r="Y15" s="423">
        <v>34</v>
      </c>
      <c r="Z15" s="423">
        <v>-754</v>
      </c>
      <c r="AA15" s="423">
        <v>339</v>
      </c>
      <c r="AB15" s="423">
        <v>312</v>
      </c>
      <c r="AC15" s="423">
        <v>-417</v>
      </c>
      <c r="AD15" s="423">
        <v>-638</v>
      </c>
      <c r="AE15" s="423">
        <v>575</v>
      </c>
      <c r="AF15" s="423">
        <v>285</v>
      </c>
      <c r="AG15" s="423">
        <v>-50</v>
      </c>
    </row>
    <row r="16" spans="2:34" s="325" customFormat="1" ht="12.75" customHeight="1">
      <c r="C16" s="325" t="s">
        <v>186</v>
      </c>
      <c r="E16" s="333">
        <v>6</v>
      </c>
      <c r="F16" s="337">
        <v>1</v>
      </c>
      <c r="G16" s="333">
        <v>1</v>
      </c>
      <c r="H16" s="424">
        <v>0</v>
      </c>
      <c r="I16" s="423">
        <v>0</v>
      </c>
      <c r="J16" s="423">
        <v>0</v>
      </c>
      <c r="K16" s="423">
        <v>0</v>
      </c>
      <c r="L16" s="423">
        <v>0</v>
      </c>
      <c r="M16" s="423">
        <v>0</v>
      </c>
      <c r="N16" s="423">
        <v>0</v>
      </c>
      <c r="O16" s="423">
        <v>0</v>
      </c>
      <c r="P16" s="423">
        <v>0</v>
      </c>
      <c r="Q16" s="423">
        <v>0</v>
      </c>
      <c r="R16" s="423">
        <v>0</v>
      </c>
      <c r="S16" s="423">
        <v>0</v>
      </c>
      <c r="T16" s="423">
        <v>0</v>
      </c>
      <c r="U16" s="423">
        <v>0</v>
      </c>
      <c r="V16" s="423">
        <v>0</v>
      </c>
      <c r="W16" s="423">
        <v>0</v>
      </c>
      <c r="X16" s="423">
        <v>0</v>
      </c>
      <c r="Y16" s="423">
        <v>0</v>
      </c>
      <c r="Z16" s="423">
        <v>0</v>
      </c>
      <c r="AA16" s="423">
        <v>0</v>
      </c>
      <c r="AB16" s="423">
        <v>0</v>
      </c>
      <c r="AC16" s="423">
        <v>0</v>
      </c>
      <c r="AD16" s="423">
        <v>0</v>
      </c>
      <c r="AE16" s="423">
        <v>0</v>
      </c>
      <c r="AF16" s="423">
        <v>0</v>
      </c>
      <c r="AG16" s="423">
        <v>0</v>
      </c>
    </row>
    <row r="17" spans="2:34" s="325" customFormat="1" ht="12.75" customHeight="1" thickBot="1">
      <c r="C17" s="325" t="s">
        <v>79</v>
      </c>
      <c r="E17" s="339">
        <f t="shared" ref="E17:G17" si="8">SUM(E12:E16)-E13</f>
        <v>711</v>
      </c>
      <c r="F17" s="339">
        <f t="shared" si="8"/>
        <v>1639</v>
      </c>
      <c r="G17" s="339">
        <f t="shared" si="8"/>
        <v>981</v>
      </c>
      <c r="H17" s="427">
        <f>SUM(H12:H16)-H13</f>
        <v>1038</v>
      </c>
      <c r="I17" s="427">
        <f t="shared" ref="I17:P17" si="9">SUM(I12:I16)-I13</f>
        <v>703</v>
      </c>
      <c r="J17" s="427">
        <f t="shared" si="9"/>
        <v>1557</v>
      </c>
      <c r="K17" s="427">
        <f t="shared" si="9"/>
        <v>1308</v>
      </c>
      <c r="L17" s="427">
        <f t="shared" si="9"/>
        <v>967</v>
      </c>
      <c r="M17" s="427">
        <f t="shared" si="9"/>
        <v>745</v>
      </c>
      <c r="N17" s="427">
        <f t="shared" si="9"/>
        <v>1427</v>
      </c>
      <c r="O17" s="427">
        <f t="shared" si="9"/>
        <v>1449</v>
      </c>
      <c r="P17" s="427">
        <f t="shared" si="9"/>
        <v>1146</v>
      </c>
      <c r="Q17" s="427">
        <f t="shared" ref="Q17:R17" si="10">SUM(Q12:Q16)-Q13</f>
        <v>754</v>
      </c>
      <c r="R17" s="427">
        <f t="shared" si="10"/>
        <v>1407</v>
      </c>
      <c r="S17" s="427">
        <f t="shared" ref="S17:T17" si="11">SUM(S12:S16)-S13</f>
        <v>1172</v>
      </c>
      <c r="T17" s="427">
        <f t="shared" si="11"/>
        <v>1075</v>
      </c>
      <c r="U17" s="427">
        <f t="shared" ref="U17:V17" si="12">SUM(U12:U16)-U13</f>
        <v>841</v>
      </c>
      <c r="V17" s="427">
        <f t="shared" si="12"/>
        <v>1768</v>
      </c>
      <c r="W17" s="427">
        <f t="shared" ref="W17:X17" si="13">SUM(W12:W16)-W13</f>
        <v>1324</v>
      </c>
      <c r="X17" s="427">
        <f t="shared" si="13"/>
        <v>1050</v>
      </c>
      <c r="Y17" s="427">
        <f t="shared" ref="Y17:Z17" si="14">SUM(Y12:Y16)-Y13</f>
        <v>691</v>
      </c>
      <c r="Z17" s="427">
        <f t="shared" si="14"/>
        <v>1518</v>
      </c>
      <c r="AA17" s="427">
        <f t="shared" ref="AA17:AB17" si="15">SUM(AA12:AA16)-AA13</f>
        <v>1111</v>
      </c>
      <c r="AB17" s="427">
        <f t="shared" si="15"/>
        <v>970</v>
      </c>
      <c r="AC17" s="427">
        <f t="shared" ref="AC17:AD17" si="16">SUM(AC12:AC16)-AC13</f>
        <v>753</v>
      </c>
      <c r="AD17" s="427">
        <f t="shared" si="16"/>
        <v>1575</v>
      </c>
      <c r="AE17" s="427">
        <f t="shared" ref="AE17:AF17" si="17">SUM(AE12:AE16)-AE13</f>
        <v>1278</v>
      </c>
      <c r="AF17" s="427">
        <f t="shared" si="17"/>
        <v>1044</v>
      </c>
      <c r="AG17" s="427">
        <f>SUM(AG12:AG16)-AG13</f>
        <v>990</v>
      </c>
    </row>
    <row r="18" spans="2:34" s="325" customFormat="1" ht="12.75" customHeight="1">
      <c r="D18" s="385"/>
      <c r="E18" s="333"/>
      <c r="F18" s="333"/>
      <c r="G18" s="333"/>
      <c r="H18" s="424"/>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row>
    <row r="19" spans="2:34" s="325" customFormat="1" ht="12.75" customHeight="1">
      <c r="B19" s="338" t="s">
        <v>80</v>
      </c>
      <c r="E19" s="341"/>
      <c r="F19" s="333"/>
      <c r="G19" s="341"/>
      <c r="H19" s="428"/>
      <c r="I19" s="423"/>
      <c r="J19" s="431"/>
      <c r="K19" s="423"/>
      <c r="L19" s="423"/>
      <c r="M19" s="423"/>
      <c r="N19" s="431"/>
      <c r="O19" s="423"/>
      <c r="P19" s="423"/>
      <c r="Q19" s="423"/>
      <c r="R19" s="423"/>
      <c r="S19" s="423"/>
      <c r="T19" s="423"/>
      <c r="U19" s="423"/>
      <c r="V19" s="423"/>
      <c r="W19" s="423"/>
      <c r="X19" s="423"/>
      <c r="Y19" s="423"/>
      <c r="Z19" s="423"/>
      <c r="AA19" s="423"/>
      <c r="AB19" s="423"/>
      <c r="AC19" s="423"/>
      <c r="AD19" s="423"/>
      <c r="AE19" s="423"/>
      <c r="AF19" s="423"/>
      <c r="AG19" s="423"/>
    </row>
    <row r="20" spans="2:34" s="325" customFormat="1" ht="12.75" customHeight="1">
      <c r="C20" s="325" t="s">
        <v>183</v>
      </c>
      <c r="E20" s="342">
        <v>-26</v>
      </c>
      <c r="F20" s="342">
        <v>368</v>
      </c>
      <c r="G20" s="342">
        <v>-27</v>
      </c>
      <c r="H20" s="429">
        <v>21</v>
      </c>
      <c r="I20" s="423">
        <v>-43</v>
      </c>
      <c r="J20" s="423">
        <v>712</v>
      </c>
      <c r="K20" s="423">
        <v>7</v>
      </c>
      <c r="L20" s="423">
        <v>-53</v>
      </c>
      <c r="M20" s="423">
        <v>-43</v>
      </c>
      <c r="N20" s="423">
        <v>599</v>
      </c>
      <c r="O20" s="423">
        <v>48</v>
      </c>
      <c r="P20" s="423">
        <v>31</v>
      </c>
      <c r="Q20" s="423">
        <v>-36</v>
      </c>
      <c r="R20" s="423">
        <v>809</v>
      </c>
      <c r="S20" s="423">
        <v>0</v>
      </c>
      <c r="T20" s="423">
        <v>-71</v>
      </c>
      <c r="U20" s="423">
        <v>-14</v>
      </c>
      <c r="V20" s="423">
        <v>1055</v>
      </c>
      <c r="W20" s="423">
        <v>112</v>
      </c>
      <c r="X20" s="423">
        <v>60</v>
      </c>
      <c r="Y20" s="423">
        <v>41</v>
      </c>
      <c r="Z20" s="423">
        <v>758</v>
      </c>
      <c r="AA20" s="423">
        <v>2</v>
      </c>
      <c r="AB20" s="423">
        <v>-31</v>
      </c>
      <c r="AC20" s="423">
        <v>95</v>
      </c>
      <c r="AD20" s="423">
        <v>696</v>
      </c>
      <c r="AE20" s="423">
        <v>66</v>
      </c>
      <c r="AF20" s="423">
        <v>57</v>
      </c>
      <c r="AG20" s="423">
        <v>122</v>
      </c>
      <c r="AH20" s="526"/>
    </row>
    <row r="21" spans="2:34" s="325" customFormat="1" ht="12.75" customHeight="1">
      <c r="C21" s="325" t="s">
        <v>184</v>
      </c>
      <c r="E21" s="333">
        <v>146</v>
      </c>
      <c r="F21" s="333">
        <v>257</v>
      </c>
      <c r="G21" s="333">
        <v>143</v>
      </c>
      <c r="H21" s="424">
        <v>134</v>
      </c>
      <c r="I21" s="423">
        <v>116</v>
      </c>
      <c r="J21" s="423">
        <v>162</v>
      </c>
      <c r="K21" s="423">
        <v>158</v>
      </c>
      <c r="L21" s="423">
        <v>155</v>
      </c>
      <c r="M21" s="423">
        <v>246</v>
      </c>
      <c r="N21" s="423">
        <v>291</v>
      </c>
      <c r="O21" s="423">
        <v>170</v>
      </c>
      <c r="P21" s="423">
        <v>135</v>
      </c>
      <c r="Q21" s="423">
        <v>120</v>
      </c>
      <c r="R21" s="423">
        <v>71</v>
      </c>
      <c r="S21" s="423">
        <v>89</v>
      </c>
      <c r="T21" s="423">
        <v>371</v>
      </c>
      <c r="U21" s="423">
        <v>168</v>
      </c>
      <c r="V21" s="423">
        <v>88</v>
      </c>
      <c r="W21" s="423">
        <v>135</v>
      </c>
      <c r="X21" s="423">
        <v>60</v>
      </c>
      <c r="Y21" s="423">
        <v>88</v>
      </c>
      <c r="Z21" s="423">
        <v>93</v>
      </c>
      <c r="AA21" s="423">
        <v>239</v>
      </c>
      <c r="AB21" s="423">
        <v>145</v>
      </c>
      <c r="AC21" s="423">
        <v>164</v>
      </c>
      <c r="AD21" s="423">
        <v>208</v>
      </c>
      <c r="AE21" s="423">
        <v>139</v>
      </c>
      <c r="AF21" s="423">
        <v>117</v>
      </c>
      <c r="AG21" s="423">
        <v>128</v>
      </c>
      <c r="AH21" s="526"/>
    </row>
    <row r="22" spans="2:34" s="325" customFormat="1" ht="12.75" customHeight="1">
      <c r="C22" s="325" t="s">
        <v>185</v>
      </c>
      <c r="E22" s="335">
        <v>2</v>
      </c>
      <c r="F22" s="335">
        <v>19</v>
      </c>
      <c r="G22" s="335">
        <v>3</v>
      </c>
      <c r="H22" s="425">
        <v>1</v>
      </c>
      <c r="I22" s="426">
        <v>2</v>
      </c>
      <c r="J22" s="426">
        <v>10</v>
      </c>
      <c r="K22" s="426">
        <v>0</v>
      </c>
      <c r="L22" s="426">
        <v>-1</v>
      </c>
      <c r="M22" s="426">
        <v>1</v>
      </c>
      <c r="N22" s="426">
        <v>11</v>
      </c>
      <c r="O22" s="426">
        <v>0</v>
      </c>
      <c r="P22" s="426">
        <v>-1</v>
      </c>
      <c r="Q22" s="426">
        <v>1</v>
      </c>
      <c r="R22" s="426">
        <v>10</v>
      </c>
      <c r="S22" s="426">
        <v>1</v>
      </c>
      <c r="T22" s="426">
        <v>0</v>
      </c>
      <c r="U22" s="426">
        <v>0</v>
      </c>
      <c r="V22" s="426">
        <v>11</v>
      </c>
      <c r="W22" s="426">
        <v>0</v>
      </c>
      <c r="X22" s="426">
        <v>-1</v>
      </c>
      <c r="Y22" s="426">
        <v>-1</v>
      </c>
      <c r="Z22" s="426">
        <v>9</v>
      </c>
      <c r="AA22" s="426">
        <v>-1</v>
      </c>
      <c r="AB22" s="426">
        <v>-1</v>
      </c>
      <c r="AC22" s="426">
        <v>1</v>
      </c>
      <c r="AD22" s="426">
        <v>10</v>
      </c>
      <c r="AE22" s="426">
        <v>-1</v>
      </c>
      <c r="AF22" s="426">
        <v>-1</v>
      </c>
      <c r="AG22" s="426">
        <v>1</v>
      </c>
      <c r="AH22" s="526"/>
    </row>
    <row r="23" spans="2:34" s="325" customFormat="1" ht="12.75" customHeight="1">
      <c r="C23" s="325" t="s">
        <v>76</v>
      </c>
      <c r="E23" s="334">
        <f>SUM(E20:E22)</f>
        <v>122</v>
      </c>
      <c r="F23" s="334">
        <f t="shared" ref="F23:N23" si="18">SUM(F20:F22)</f>
        <v>644</v>
      </c>
      <c r="G23" s="334">
        <f t="shared" si="18"/>
        <v>119</v>
      </c>
      <c r="H23" s="423">
        <f t="shared" si="18"/>
        <v>156</v>
      </c>
      <c r="I23" s="423">
        <f t="shared" si="18"/>
        <v>75</v>
      </c>
      <c r="J23" s="423">
        <f t="shared" si="18"/>
        <v>884</v>
      </c>
      <c r="K23" s="423">
        <f t="shared" si="18"/>
        <v>165</v>
      </c>
      <c r="L23" s="423">
        <f t="shared" si="18"/>
        <v>101</v>
      </c>
      <c r="M23" s="423">
        <f t="shared" si="18"/>
        <v>204</v>
      </c>
      <c r="N23" s="423">
        <f t="shared" si="18"/>
        <v>901</v>
      </c>
      <c r="O23" s="423">
        <f t="shared" ref="O23:T23" si="19">SUM(O20:O22)</f>
        <v>218</v>
      </c>
      <c r="P23" s="423">
        <f t="shared" si="19"/>
        <v>165</v>
      </c>
      <c r="Q23" s="423">
        <f t="shared" si="19"/>
        <v>85</v>
      </c>
      <c r="R23" s="423">
        <f t="shared" si="19"/>
        <v>890</v>
      </c>
      <c r="S23" s="423">
        <f t="shared" si="19"/>
        <v>90</v>
      </c>
      <c r="T23" s="423">
        <f t="shared" si="19"/>
        <v>300</v>
      </c>
      <c r="U23" s="423">
        <f t="shared" ref="U23:V23" si="20">SUM(U20:U22)</f>
        <v>154</v>
      </c>
      <c r="V23" s="423">
        <f t="shared" si="20"/>
        <v>1154</v>
      </c>
      <c r="W23" s="423">
        <f t="shared" ref="W23:X23" si="21">SUM(W20:W22)</f>
        <v>247</v>
      </c>
      <c r="X23" s="423">
        <f t="shared" si="21"/>
        <v>119</v>
      </c>
      <c r="Y23" s="423">
        <f t="shared" ref="Y23:Z23" si="22">SUM(Y20:Y22)</f>
        <v>128</v>
      </c>
      <c r="Z23" s="423">
        <f t="shared" si="22"/>
        <v>860</v>
      </c>
      <c r="AA23" s="423">
        <f t="shared" ref="AA23:AB23" si="23">SUM(AA20:AA22)</f>
        <v>240</v>
      </c>
      <c r="AB23" s="423">
        <f t="shared" si="23"/>
        <v>113</v>
      </c>
      <c r="AC23" s="423">
        <f t="shared" ref="AC23:AD23" si="24">SUM(AC20:AC22)</f>
        <v>260</v>
      </c>
      <c r="AD23" s="423">
        <f t="shared" si="24"/>
        <v>914</v>
      </c>
      <c r="AE23" s="423">
        <f t="shared" ref="AE23:AF23" si="25">SUM(AE20:AE22)</f>
        <v>204</v>
      </c>
      <c r="AF23" s="423">
        <f t="shared" si="25"/>
        <v>173</v>
      </c>
      <c r="AG23" s="423">
        <f>SUM(AG20:AG22)</f>
        <v>251</v>
      </c>
    </row>
    <row r="24" spans="2:34" s="325" customFormat="1" ht="12.75" customHeight="1">
      <c r="D24" s="385"/>
      <c r="E24" s="333"/>
      <c r="F24" s="337"/>
      <c r="G24" s="333"/>
      <c r="H24" s="423"/>
      <c r="I24" s="431"/>
      <c r="J24" s="431"/>
      <c r="K24" s="431"/>
      <c r="L24" s="423"/>
      <c r="M24" s="431"/>
      <c r="N24" s="431"/>
      <c r="O24" s="431"/>
      <c r="P24" s="423"/>
      <c r="Q24" s="431"/>
      <c r="R24" s="431"/>
      <c r="S24" s="431"/>
      <c r="T24" s="431"/>
      <c r="U24" s="431"/>
      <c r="V24" s="431"/>
      <c r="W24" s="431"/>
      <c r="X24" s="431"/>
      <c r="Y24" s="431"/>
      <c r="Z24" s="431"/>
      <c r="AA24" s="431"/>
      <c r="AB24" s="431"/>
      <c r="AC24" s="431"/>
      <c r="AD24" s="431"/>
      <c r="AE24" s="431"/>
      <c r="AF24" s="431"/>
      <c r="AG24" s="431"/>
    </row>
    <row r="25" spans="2:34" s="325" customFormat="1" ht="12.75" customHeight="1">
      <c r="B25" s="338" t="s">
        <v>229</v>
      </c>
      <c r="E25" s="333"/>
      <c r="F25" s="337"/>
      <c r="G25" s="333"/>
      <c r="H25" s="424"/>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row>
    <row r="26" spans="2:34" s="325" customFormat="1" ht="25.5" customHeight="1">
      <c r="B26" s="338"/>
      <c r="C26" s="690" t="s">
        <v>81</v>
      </c>
      <c r="D26" s="690"/>
      <c r="E26" s="333">
        <v>-12</v>
      </c>
      <c r="F26" s="337">
        <v>-490</v>
      </c>
      <c r="G26" s="333">
        <v>167</v>
      </c>
      <c r="H26" s="424">
        <v>164</v>
      </c>
      <c r="I26" s="423">
        <v>9</v>
      </c>
      <c r="J26" s="423">
        <v>-724</v>
      </c>
      <c r="K26" s="423">
        <v>410</v>
      </c>
      <c r="L26" s="423">
        <v>227</v>
      </c>
      <c r="M26" s="423">
        <v>-97</v>
      </c>
      <c r="N26" s="423">
        <v>-859</v>
      </c>
      <c r="O26" s="423">
        <v>506</v>
      </c>
      <c r="P26" s="423">
        <v>332</v>
      </c>
      <c r="Q26" s="423">
        <v>105</v>
      </c>
      <c r="R26" s="423">
        <v>-758</v>
      </c>
      <c r="S26" s="423">
        <v>447</v>
      </c>
      <c r="T26" s="423">
        <v>-40</v>
      </c>
      <c r="U26" s="423">
        <v>110</v>
      </c>
      <c r="V26" s="423">
        <v>-607</v>
      </c>
      <c r="W26" s="423">
        <v>369</v>
      </c>
      <c r="X26" s="423">
        <v>338</v>
      </c>
      <c r="Y26" s="423">
        <v>32</v>
      </c>
      <c r="Z26" s="423">
        <v>-509</v>
      </c>
      <c r="AA26" s="423">
        <v>219</v>
      </c>
      <c r="AB26" s="423">
        <v>220</v>
      </c>
      <c r="AC26" s="423">
        <v>-180</v>
      </c>
      <c r="AD26" s="423">
        <v>-475</v>
      </c>
      <c r="AE26" s="423">
        <v>362</v>
      </c>
      <c r="AF26" s="423">
        <v>181</v>
      </c>
      <c r="AG26" s="423">
        <v>-26</v>
      </c>
    </row>
    <row r="27" spans="2:34" s="325" customFormat="1" ht="12.75" customHeight="1">
      <c r="B27" s="338"/>
      <c r="C27" s="325" t="s">
        <v>82</v>
      </c>
      <c r="E27" s="333">
        <v>-26</v>
      </c>
      <c r="F27" s="337">
        <v>-43</v>
      </c>
      <c r="G27" s="333">
        <v>-28</v>
      </c>
      <c r="H27" s="424">
        <v>-43</v>
      </c>
      <c r="I27" s="423">
        <v>-36</v>
      </c>
      <c r="J27" s="423">
        <v>-47</v>
      </c>
      <c r="K27" s="423">
        <v>-44</v>
      </c>
      <c r="L27" s="423">
        <v>-17</v>
      </c>
      <c r="M27" s="423">
        <v>-34</v>
      </c>
      <c r="N27" s="423">
        <v>-37</v>
      </c>
      <c r="O27" s="423">
        <v>-23</v>
      </c>
      <c r="P27" s="423">
        <v>-20</v>
      </c>
      <c r="Q27" s="423">
        <v>-18</v>
      </c>
      <c r="R27" s="423">
        <v>-43</v>
      </c>
      <c r="S27" s="423">
        <v>-21</v>
      </c>
      <c r="T27" s="423">
        <v>-31</v>
      </c>
      <c r="U27" s="423">
        <v>-34</v>
      </c>
      <c r="V27" s="423">
        <v>-40</v>
      </c>
      <c r="W27" s="423">
        <v>-26</v>
      </c>
      <c r="X27" s="423">
        <v>-24</v>
      </c>
      <c r="Y27" s="423">
        <v>-25</v>
      </c>
      <c r="Z27" s="423">
        <v>-34</v>
      </c>
      <c r="AA27" s="423">
        <v>-30</v>
      </c>
      <c r="AB27" s="423">
        <v>-22</v>
      </c>
      <c r="AC27" s="423">
        <v>-22</v>
      </c>
      <c r="AD27" s="423">
        <v>-29</v>
      </c>
      <c r="AE27" s="423">
        <v>-23</v>
      </c>
      <c r="AF27" s="423">
        <v>-21</v>
      </c>
      <c r="AG27" s="423">
        <v>-28</v>
      </c>
    </row>
    <row r="28" spans="2:34" s="325" customFormat="1" ht="12.75" customHeight="1">
      <c r="B28" s="338"/>
      <c r="C28" s="325" t="s">
        <v>83</v>
      </c>
      <c r="E28" s="333">
        <v>-61</v>
      </c>
      <c r="F28" s="337">
        <v>-32</v>
      </c>
      <c r="G28" s="333">
        <v>-15</v>
      </c>
      <c r="H28" s="424">
        <v>-15</v>
      </c>
      <c r="I28" s="423">
        <v>1</v>
      </c>
      <c r="J28" s="423">
        <v>6</v>
      </c>
      <c r="K28" s="423">
        <v>-3</v>
      </c>
      <c r="L28" s="423">
        <v>-1</v>
      </c>
      <c r="M28" s="423">
        <v>0</v>
      </c>
      <c r="N28" s="423">
        <v>1</v>
      </c>
      <c r="O28" s="423">
        <v>-19</v>
      </c>
      <c r="P28" s="423">
        <v>-3</v>
      </c>
      <c r="Q28" s="423">
        <v>-3</v>
      </c>
      <c r="R28" s="423">
        <v>-2</v>
      </c>
      <c r="S28" s="423">
        <v>0</v>
      </c>
      <c r="T28" s="423">
        <v>0</v>
      </c>
      <c r="U28" s="423">
        <v>0</v>
      </c>
      <c r="V28" s="423">
        <v>0</v>
      </c>
      <c r="W28" s="423">
        <v>0</v>
      </c>
      <c r="X28" s="423">
        <v>0</v>
      </c>
      <c r="Y28" s="423">
        <v>0</v>
      </c>
      <c r="Z28" s="423">
        <v>0</v>
      </c>
      <c r="AA28" s="423">
        <v>0</v>
      </c>
      <c r="AB28" s="423">
        <v>0</v>
      </c>
      <c r="AC28" s="423">
        <v>0</v>
      </c>
      <c r="AD28" s="423">
        <v>0</v>
      </c>
      <c r="AE28" s="423">
        <v>0</v>
      </c>
      <c r="AF28" s="423">
        <v>0</v>
      </c>
      <c r="AG28" s="423">
        <v>0</v>
      </c>
    </row>
    <row r="29" spans="2:34" s="325" customFormat="1" ht="25.5" customHeight="1">
      <c r="B29" s="338"/>
      <c r="C29" s="690" t="s">
        <v>84</v>
      </c>
      <c r="D29" s="690"/>
      <c r="E29" s="333">
        <v>-90</v>
      </c>
      <c r="F29" s="337">
        <v>-201</v>
      </c>
      <c r="G29" s="333">
        <v>-46</v>
      </c>
      <c r="H29" s="424">
        <v>-38</v>
      </c>
      <c r="I29" s="423">
        <v>-33</v>
      </c>
      <c r="J29" s="423">
        <v>-142</v>
      </c>
      <c r="K29" s="423">
        <v>-17</v>
      </c>
      <c r="L29" s="423">
        <v>-10</v>
      </c>
      <c r="M29" s="423">
        <v>-18</v>
      </c>
      <c r="N29" s="423">
        <v>-77</v>
      </c>
      <c r="O29" s="423">
        <v>-8</v>
      </c>
      <c r="P29" s="423">
        <v>-7</v>
      </c>
      <c r="Q29" s="423">
        <v>-7</v>
      </c>
      <c r="R29" s="423">
        <v>-50</v>
      </c>
      <c r="S29" s="423">
        <v>-3</v>
      </c>
      <c r="T29" s="423">
        <v>-2</v>
      </c>
      <c r="U29" s="423">
        <v>-3</v>
      </c>
      <c r="V29" s="423">
        <v>-23</v>
      </c>
      <c r="W29" s="423">
        <v>-3</v>
      </c>
      <c r="X29" s="423">
        <v>-3</v>
      </c>
      <c r="Y29" s="423">
        <v>-3</v>
      </c>
      <c r="Z29" s="423">
        <v>-15</v>
      </c>
      <c r="AA29" s="423">
        <v>-2</v>
      </c>
      <c r="AB29" s="423">
        <v>-1</v>
      </c>
      <c r="AC29" s="423">
        <v>-2</v>
      </c>
      <c r="AD29" s="423">
        <v>-8</v>
      </c>
      <c r="AE29" s="423">
        <v>-1</v>
      </c>
      <c r="AF29" s="423">
        <v>-1</v>
      </c>
      <c r="AG29" s="423">
        <v>-1</v>
      </c>
    </row>
    <row r="30" spans="2:34" s="325" customFormat="1" ht="25.5" customHeight="1">
      <c r="B30" s="338"/>
      <c r="C30" s="690" t="s">
        <v>291</v>
      </c>
      <c r="D30" s="690"/>
      <c r="E30" s="423">
        <v>0</v>
      </c>
      <c r="F30" s="423">
        <v>0</v>
      </c>
      <c r="G30" s="423">
        <v>0</v>
      </c>
      <c r="H30" s="423">
        <v>0</v>
      </c>
      <c r="I30" s="423">
        <v>0</v>
      </c>
      <c r="J30" s="423">
        <v>0</v>
      </c>
      <c r="K30" s="423">
        <v>0</v>
      </c>
      <c r="L30" s="423">
        <v>0</v>
      </c>
      <c r="M30" s="423">
        <v>0</v>
      </c>
      <c r="N30" s="423">
        <v>0</v>
      </c>
      <c r="O30" s="423">
        <v>0</v>
      </c>
      <c r="P30" s="423">
        <v>0</v>
      </c>
      <c r="Q30" s="423">
        <v>0</v>
      </c>
      <c r="R30" s="423">
        <v>0</v>
      </c>
      <c r="S30" s="423">
        <v>0</v>
      </c>
      <c r="T30" s="423">
        <v>0</v>
      </c>
      <c r="U30" s="423">
        <v>0</v>
      </c>
      <c r="V30" s="423">
        <v>0</v>
      </c>
      <c r="W30" s="423">
        <v>0</v>
      </c>
      <c r="X30" s="423">
        <v>0</v>
      </c>
      <c r="Y30" s="423">
        <v>-62</v>
      </c>
      <c r="Z30" s="423">
        <v>-18</v>
      </c>
      <c r="AA30" s="423">
        <v>0</v>
      </c>
      <c r="AB30" s="423">
        <v>0</v>
      </c>
      <c r="AC30" s="423">
        <v>-48</v>
      </c>
      <c r="AD30" s="423">
        <v>36</v>
      </c>
      <c r="AE30" s="423">
        <v>0</v>
      </c>
      <c r="AF30" s="423">
        <v>0</v>
      </c>
      <c r="AG30" s="423">
        <v>0</v>
      </c>
    </row>
    <row r="31" spans="2:34" s="325" customFormat="1" ht="12.75" customHeight="1">
      <c r="B31" s="338"/>
      <c r="C31" s="325" t="s">
        <v>85</v>
      </c>
      <c r="E31" s="333">
        <v>-17</v>
      </c>
      <c r="F31" s="337">
        <v>-11</v>
      </c>
      <c r="G31" s="333">
        <v>-14</v>
      </c>
      <c r="H31" s="424">
        <v>-3</v>
      </c>
      <c r="I31" s="423">
        <v>-7</v>
      </c>
      <c r="J31" s="423">
        <v>0</v>
      </c>
      <c r="K31" s="423">
        <v>0</v>
      </c>
      <c r="L31" s="423">
        <v>0</v>
      </c>
      <c r="M31" s="423">
        <v>0</v>
      </c>
      <c r="N31" s="423">
        <v>0</v>
      </c>
      <c r="O31" s="423">
        <v>0</v>
      </c>
      <c r="P31" s="423">
        <v>0</v>
      </c>
      <c r="Q31" s="423">
        <v>0</v>
      </c>
      <c r="R31" s="423">
        <v>0</v>
      </c>
      <c r="S31" s="423">
        <v>0</v>
      </c>
      <c r="T31" s="423">
        <v>0</v>
      </c>
      <c r="U31" s="423">
        <v>0</v>
      </c>
      <c r="V31" s="423">
        <v>0</v>
      </c>
      <c r="W31" s="423">
        <v>0</v>
      </c>
      <c r="X31" s="423">
        <v>0</v>
      </c>
      <c r="Y31" s="423">
        <v>0</v>
      </c>
      <c r="Z31" s="423">
        <v>0</v>
      </c>
      <c r="AA31" s="423">
        <v>0</v>
      </c>
      <c r="AB31" s="423">
        <v>0</v>
      </c>
      <c r="AC31" s="423">
        <v>0</v>
      </c>
      <c r="AD31" s="423">
        <v>0</v>
      </c>
      <c r="AE31" s="423">
        <v>0</v>
      </c>
      <c r="AF31" s="423">
        <v>0</v>
      </c>
      <c r="AG31" s="423">
        <v>0</v>
      </c>
    </row>
    <row r="32" spans="2:34" s="325" customFormat="1" ht="12.75" customHeight="1">
      <c r="B32" s="338"/>
      <c r="C32" s="325" t="s">
        <v>225</v>
      </c>
      <c r="E32" s="333">
        <v>0</v>
      </c>
      <c r="F32" s="337">
        <v>0</v>
      </c>
      <c r="G32" s="333">
        <v>0</v>
      </c>
      <c r="H32" s="424">
        <v>0</v>
      </c>
      <c r="I32" s="423">
        <v>0</v>
      </c>
      <c r="J32" s="423">
        <v>-409</v>
      </c>
      <c r="K32" s="423">
        <v>0</v>
      </c>
      <c r="L32" s="423">
        <v>0</v>
      </c>
      <c r="M32" s="423">
        <v>0</v>
      </c>
      <c r="N32" s="423">
        <v>-326</v>
      </c>
      <c r="O32" s="423">
        <v>0</v>
      </c>
      <c r="P32" s="423">
        <v>0</v>
      </c>
      <c r="Q32" s="423">
        <v>0</v>
      </c>
      <c r="R32" s="423">
        <v>-12</v>
      </c>
      <c r="S32" s="423">
        <v>0</v>
      </c>
      <c r="T32" s="423">
        <v>0</v>
      </c>
      <c r="U32" s="423">
        <v>0</v>
      </c>
      <c r="V32" s="423">
        <v>0</v>
      </c>
      <c r="W32" s="423">
        <v>0</v>
      </c>
      <c r="X32" s="423">
        <v>0</v>
      </c>
      <c r="Y32" s="423">
        <v>0</v>
      </c>
      <c r="Z32" s="423">
        <v>0</v>
      </c>
      <c r="AA32" s="423">
        <v>0</v>
      </c>
      <c r="AB32" s="423">
        <v>0</v>
      </c>
      <c r="AC32" s="423">
        <v>0</v>
      </c>
      <c r="AD32" s="423">
        <v>0</v>
      </c>
      <c r="AE32" s="423">
        <v>0</v>
      </c>
      <c r="AF32" s="423">
        <v>0</v>
      </c>
      <c r="AG32" s="423">
        <v>0</v>
      </c>
    </row>
    <row r="33" spans="2:33" s="325" customFormat="1" ht="12.75" customHeight="1">
      <c r="B33" s="338"/>
      <c r="C33" s="325" t="s">
        <v>186</v>
      </c>
      <c r="E33" s="333">
        <v>-110</v>
      </c>
      <c r="F33" s="343">
        <v>-15</v>
      </c>
      <c r="G33" s="333">
        <v>-4</v>
      </c>
      <c r="H33" s="425">
        <v>-3</v>
      </c>
      <c r="I33" s="426">
        <v>0</v>
      </c>
      <c r="J33" s="426">
        <v>0</v>
      </c>
      <c r="K33" s="426">
        <v>0</v>
      </c>
      <c r="L33" s="426">
        <v>0</v>
      </c>
      <c r="M33" s="426">
        <v>0</v>
      </c>
      <c r="N33" s="426">
        <v>0</v>
      </c>
      <c r="O33" s="426">
        <v>0</v>
      </c>
      <c r="P33" s="426">
        <v>0</v>
      </c>
      <c r="Q33" s="426">
        <v>0</v>
      </c>
      <c r="R33" s="426">
        <v>0</v>
      </c>
      <c r="S33" s="426">
        <v>0</v>
      </c>
      <c r="T33" s="426">
        <v>0</v>
      </c>
      <c r="U33" s="426">
        <v>0</v>
      </c>
      <c r="V33" s="426">
        <v>0</v>
      </c>
      <c r="W33" s="426">
        <v>0</v>
      </c>
      <c r="X33" s="426">
        <v>0</v>
      </c>
      <c r="Y33" s="426">
        <v>0</v>
      </c>
      <c r="Z33" s="426">
        <v>0</v>
      </c>
      <c r="AA33" s="426">
        <v>0</v>
      </c>
      <c r="AB33" s="426">
        <v>0</v>
      </c>
      <c r="AC33" s="426">
        <v>0</v>
      </c>
      <c r="AD33" s="426">
        <v>0</v>
      </c>
      <c r="AE33" s="426">
        <v>0</v>
      </c>
      <c r="AF33" s="426">
        <v>0</v>
      </c>
      <c r="AG33" s="426">
        <v>0</v>
      </c>
    </row>
    <row r="34" spans="2:33" s="325" customFormat="1" ht="12.75" customHeight="1" thickBot="1">
      <c r="C34" s="325" t="s">
        <v>233</v>
      </c>
      <c r="E34" s="339">
        <f>SUM(E23:E33)-E24</f>
        <v>-194</v>
      </c>
      <c r="F34" s="339">
        <f t="shared" ref="F34:G34" si="26">SUM(F23:F33)-F24</f>
        <v>-148</v>
      </c>
      <c r="G34" s="339">
        <f t="shared" si="26"/>
        <v>179</v>
      </c>
      <c r="H34" s="427">
        <f>SUM(H23:H33)-H24</f>
        <v>218</v>
      </c>
      <c r="I34" s="427">
        <f t="shared" ref="I34:P34" si="27">SUM(I23:I33)-I24</f>
        <v>9</v>
      </c>
      <c r="J34" s="427">
        <f t="shared" si="27"/>
        <v>-432</v>
      </c>
      <c r="K34" s="427">
        <f t="shared" si="27"/>
        <v>511</v>
      </c>
      <c r="L34" s="427">
        <f t="shared" si="27"/>
        <v>300</v>
      </c>
      <c r="M34" s="427">
        <f t="shared" si="27"/>
        <v>55</v>
      </c>
      <c r="N34" s="427">
        <f t="shared" si="27"/>
        <v>-397</v>
      </c>
      <c r="O34" s="427">
        <f t="shared" si="27"/>
        <v>674</v>
      </c>
      <c r="P34" s="427">
        <f t="shared" si="27"/>
        <v>467</v>
      </c>
      <c r="Q34" s="427">
        <f t="shared" ref="Q34:R34" si="28">SUM(Q23:Q33)-Q24</f>
        <v>162</v>
      </c>
      <c r="R34" s="427">
        <f t="shared" si="28"/>
        <v>25</v>
      </c>
      <c r="S34" s="427">
        <f t="shared" ref="S34:T34" si="29">SUM(S23:S33)-S24</f>
        <v>513</v>
      </c>
      <c r="T34" s="427">
        <f t="shared" si="29"/>
        <v>227</v>
      </c>
      <c r="U34" s="427">
        <f t="shared" ref="U34:V34" si="30">SUM(U23:U33)-U24</f>
        <v>227</v>
      </c>
      <c r="V34" s="427">
        <f t="shared" si="30"/>
        <v>484</v>
      </c>
      <c r="W34" s="427">
        <f t="shared" ref="W34:X34" si="31">SUM(W23:W33)-W24</f>
        <v>587</v>
      </c>
      <c r="X34" s="427">
        <f t="shared" si="31"/>
        <v>430</v>
      </c>
      <c r="Y34" s="427">
        <f t="shared" ref="Y34:Z34" si="32">SUM(Y23:Y33)-Y24</f>
        <v>70</v>
      </c>
      <c r="Z34" s="427">
        <f t="shared" si="32"/>
        <v>284</v>
      </c>
      <c r="AA34" s="427">
        <f t="shared" ref="AA34:AB34" si="33">SUM(AA23:AA33)-AA24</f>
        <v>427</v>
      </c>
      <c r="AB34" s="427">
        <f t="shared" si="33"/>
        <v>310</v>
      </c>
      <c r="AC34" s="427">
        <f t="shared" ref="AC34:AD34" si="34">SUM(AC23:AC33)-AC24</f>
        <v>8</v>
      </c>
      <c r="AD34" s="427">
        <f t="shared" si="34"/>
        <v>438</v>
      </c>
      <c r="AE34" s="427">
        <f t="shared" ref="AE34:AF34" si="35">SUM(AE23:AE33)-AE24</f>
        <v>542</v>
      </c>
      <c r="AF34" s="427">
        <f t="shared" si="35"/>
        <v>332</v>
      </c>
      <c r="AG34" s="427">
        <f>SUM(AG23:AG33)-AG24</f>
        <v>196</v>
      </c>
    </row>
    <row r="35" spans="2:33" s="325" customFormat="1" ht="12.75" customHeight="1">
      <c r="D35" s="385"/>
      <c r="E35" s="344"/>
      <c r="F35" s="345"/>
      <c r="G35" s="344"/>
      <c r="H35" s="430"/>
      <c r="I35" s="416"/>
      <c r="J35" s="416"/>
      <c r="K35" s="416"/>
      <c r="L35" s="430"/>
      <c r="M35" s="416"/>
      <c r="N35" s="416"/>
      <c r="O35" s="416"/>
      <c r="P35" s="435"/>
      <c r="Q35" s="435"/>
      <c r="R35" s="435"/>
      <c r="S35" s="435"/>
      <c r="T35" s="435"/>
      <c r="U35" s="435"/>
      <c r="V35" s="435"/>
      <c r="W35" s="435"/>
      <c r="X35" s="435"/>
      <c r="Y35" s="435"/>
      <c r="Z35" s="435"/>
      <c r="AA35" s="435"/>
      <c r="AB35" s="435"/>
      <c r="AC35" s="435"/>
      <c r="AD35" s="435"/>
      <c r="AE35" s="435"/>
      <c r="AF35" s="435"/>
      <c r="AG35" s="435"/>
    </row>
    <row r="36" spans="2:33" s="325" customFormat="1" ht="12.75" customHeight="1">
      <c r="D36" s="385" t="s">
        <v>86</v>
      </c>
      <c r="E36" s="490">
        <f>E23/E12</f>
        <v>0.1701534170153417</v>
      </c>
      <c r="F36" s="490">
        <f t="shared" ref="F36:Q36" si="36">F23/F12</f>
        <v>0.27486128894579598</v>
      </c>
      <c r="G36" s="490">
        <f t="shared" si="36"/>
        <v>0.1643646408839779</v>
      </c>
      <c r="H36" s="489">
        <f t="shared" si="36"/>
        <v>0.19475655430711611</v>
      </c>
      <c r="I36" s="489">
        <f t="shared" si="36"/>
        <v>9.9337748344370855E-2</v>
      </c>
      <c r="J36" s="489">
        <f t="shared" si="36"/>
        <v>0.35430861723446894</v>
      </c>
      <c r="K36" s="489">
        <f t="shared" si="36"/>
        <v>0.23109243697478993</v>
      </c>
      <c r="L36" s="489">
        <f t="shared" si="36"/>
        <v>0.14787701317715959</v>
      </c>
      <c r="M36" s="489">
        <f t="shared" si="36"/>
        <v>0.23803967327887982</v>
      </c>
      <c r="N36" s="489">
        <f t="shared" si="36"/>
        <v>0.35361067503924648</v>
      </c>
      <c r="O36" s="489">
        <f t="shared" si="36"/>
        <v>0.28874172185430463</v>
      </c>
      <c r="P36" s="489">
        <f t="shared" si="36"/>
        <v>0.23605150214592274</v>
      </c>
      <c r="Q36" s="489">
        <f t="shared" si="36"/>
        <v>0.13556618819776714</v>
      </c>
      <c r="R36" s="489">
        <f t="shared" ref="R36:U36" si="37">R23/R12</f>
        <v>0.36960132890365449</v>
      </c>
      <c r="S36" s="489">
        <f>S23/S12</f>
        <v>0.15332197614991483</v>
      </c>
      <c r="T36" s="489">
        <f t="shared" si="37"/>
        <v>0.28462998102466791</v>
      </c>
      <c r="U36" s="489">
        <f t="shared" si="37"/>
        <v>0.20505992010652463</v>
      </c>
      <c r="V36" s="489">
        <f t="shared" ref="V36:AA36" si="38">V23/V12</f>
        <v>0.44470134874759154</v>
      </c>
      <c r="W36" s="489">
        <f t="shared" si="38"/>
        <v>0.30721393034825872</v>
      </c>
      <c r="X36" s="489">
        <f t="shared" si="38"/>
        <v>0.19572368421052633</v>
      </c>
      <c r="Y36" s="489">
        <f t="shared" si="38"/>
        <v>0.19482496194824961</v>
      </c>
      <c r="Z36" s="489">
        <f t="shared" si="38"/>
        <v>0.37852112676056338</v>
      </c>
      <c r="AA36" s="489">
        <f t="shared" si="38"/>
        <v>0.31088082901554404</v>
      </c>
      <c r="AB36" s="489">
        <f t="shared" ref="AB36:AC36" si="39">AB23/AB12</f>
        <v>0.17173252279635259</v>
      </c>
      <c r="AC36" s="489">
        <f t="shared" si="39"/>
        <v>0.22222222222222221</v>
      </c>
      <c r="AD36" s="489">
        <f t="shared" ref="AD36:AE36" si="40">AD23/AD12</f>
        <v>0.41301400813375511</v>
      </c>
      <c r="AE36" s="489">
        <f t="shared" si="40"/>
        <v>0.29018492176386912</v>
      </c>
      <c r="AF36" s="489">
        <f>AF23/AF12</f>
        <v>0.22793148880105402</v>
      </c>
      <c r="AG36" s="489">
        <f>AG23/AG12</f>
        <v>0.24134615384615385</v>
      </c>
    </row>
    <row r="37" spans="2:33" s="325" customFormat="1" ht="12.75" customHeight="1"/>
    <row r="38" spans="2:33" s="325" customFormat="1" ht="12.75" customHeight="1">
      <c r="D38" s="385"/>
      <c r="E38" s="346"/>
      <c r="F38" s="346"/>
      <c r="G38" s="346"/>
      <c r="H38" s="431"/>
      <c r="I38" s="416"/>
      <c r="J38" s="416"/>
      <c r="K38" s="416"/>
      <c r="L38" s="431"/>
      <c r="M38" s="416"/>
      <c r="N38" s="416"/>
      <c r="O38" s="433"/>
      <c r="P38" s="432"/>
      <c r="Q38" s="432"/>
      <c r="R38" s="432"/>
      <c r="S38" s="432"/>
      <c r="T38" s="432"/>
      <c r="U38" s="432"/>
      <c r="V38" s="432"/>
      <c r="W38" s="432"/>
      <c r="X38" s="432"/>
      <c r="Y38" s="432"/>
      <c r="Z38" s="432"/>
      <c r="AA38" s="432"/>
      <c r="AB38" s="432"/>
      <c r="AC38" s="432"/>
      <c r="AD38" s="432"/>
      <c r="AE38" s="432"/>
      <c r="AF38" s="432"/>
      <c r="AG38" s="432"/>
    </row>
    <row r="39" spans="2:33" s="325" customFormat="1">
      <c r="B39" s="324"/>
      <c r="C39" s="324"/>
    </row>
    <row r="40" spans="2:33" ht="12.75" customHeight="1">
      <c r="B40" s="340"/>
      <c r="C40" s="325"/>
      <c r="D40" s="653" t="s">
        <v>335</v>
      </c>
      <c r="E40" s="653"/>
      <c r="F40" s="653"/>
      <c r="G40" s="653"/>
      <c r="H40" s="653"/>
      <c r="I40" s="653"/>
      <c r="J40" s="653"/>
      <c r="K40" s="653"/>
      <c r="L40" s="653"/>
      <c r="M40" s="653"/>
      <c r="N40" s="653"/>
      <c r="O40" s="653"/>
    </row>
    <row r="41" spans="2:33" ht="12.75" customHeight="1">
      <c r="B41" s="340"/>
      <c r="C41" s="325"/>
      <c r="D41" s="653" t="s">
        <v>336</v>
      </c>
      <c r="E41" s="653"/>
      <c r="F41" s="653"/>
      <c r="G41" s="653"/>
      <c r="H41" s="653"/>
      <c r="I41" s="653"/>
      <c r="J41" s="653"/>
      <c r="K41" s="653"/>
      <c r="L41" s="653"/>
      <c r="M41" s="653"/>
      <c r="N41" s="653"/>
      <c r="O41" s="653"/>
    </row>
    <row r="42" spans="2:33" ht="12.75" customHeight="1">
      <c r="B42" s="340"/>
      <c r="C42" s="325"/>
      <c r="D42" s="653" t="s">
        <v>219</v>
      </c>
      <c r="E42" s="653"/>
      <c r="F42" s="653"/>
      <c r="G42" s="653"/>
      <c r="H42" s="653"/>
      <c r="I42" s="653"/>
      <c r="J42" s="653"/>
      <c r="K42" s="653"/>
      <c r="L42" s="653"/>
      <c r="M42" s="653"/>
      <c r="N42" s="653"/>
      <c r="O42" s="653"/>
    </row>
    <row r="43" spans="2:33" ht="13.5">
      <c r="B43" s="340"/>
      <c r="C43" s="325"/>
      <c r="D43" s="666" t="s">
        <v>345</v>
      </c>
      <c r="E43" s="665"/>
      <c r="F43" s="665"/>
      <c r="G43" s="665"/>
      <c r="H43" s="665"/>
      <c r="I43" s="665"/>
      <c r="J43" s="665"/>
      <c r="K43" s="665"/>
      <c r="L43" s="665"/>
      <c r="M43" s="665"/>
      <c r="N43" s="665"/>
      <c r="O43" s="665"/>
    </row>
    <row r="44" spans="2:33">
      <c r="D44" s="324" t="s">
        <v>346</v>
      </c>
    </row>
    <row r="45" spans="2:33">
      <c r="D45" s="324" t="s">
        <v>347</v>
      </c>
    </row>
    <row r="46" spans="2:33" ht="12.75" customHeight="1">
      <c r="B46" s="340"/>
      <c r="C46" s="325"/>
      <c r="D46" s="666" t="s">
        <v>337</v>
      </c>
      <c r="E46" s="666"/>
      <c r="F46" s="666"/>
      <c r="G46" s="666"/>
      <c r="H46" s="666"/>
      <c r="I46" s="666"/>
      <c r="J46" s="666"/>
      <c r="K46" s="666"/>
      <c r="L46" s="666"/>
      <c r="M46" s="666"/>
      <c r="N46" s="666"/>
      <c r="O46" s="666"/>
    </row>
    <row r="47" spans="2:33" ht="12.75" customHeight="1">
      <c r="B47" s="340"/>
      <c r="C47" s="325"/>
      <c r="D47" s="325"/>
      <c r="E47" s="348"/>
      <c r="F47" s="349"/>
      <c r="G47" s="348"/>
      <c r="H47" s="434"/>
    </row>
  </sheetData>
  <mergeCells count="6">
    <mergeCell ref="B1:AH1"/>
    <mergeCell ref="B2:AH2"/>
    <mergeCell ref="B3:AH3"/>
    <mergeCell ref="C26:D26"/>
    <mergeCell ref="C30:D30"/>
    <mergeCell ref="C29:D29"/>
  </mergeCells>
  <pageMargins left="0.7" right="0.7" top="0.25" bottom="0.44" header="0.3" footer="0.3"/>
  <pageSetup scale="40" orientation="landscape" r:id="rId1"/>
  <headerFooter>
    <oddFooter>&amp;LActivision Blizzard, Inc.&amp;R&amp;P of &amp; 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AH53"/>
  <sheetViews>
    <sheetView zoomScaleNormal="100" zoomScaleSheetLayoutView="100" workbookViewId="0">
      <pane xSplit="4" ySplit="7" topLeftCell="AA8" activePane="bottomRight" state="frozen"/>
      <selection sqref="A1:AE1"/>
      <selection pane="topRight" sqref="A1:AE1"/>
      <selection pane="bottomLeft" sqref="A1:AE1"/>
      <selection pane="bottomRight" activeCell="AI29" sqref="AI29"/>
    </sheetView>
  </sheetViews>
  <sheetFormatPr defaultColWidth="11.42578125" defaultRowHeight="12"/>
  <cols>
    <col min="1" max="1" width="2.85546875" style="324" customWidth="1"/>
    <col min="2" max="2" width="2" style="324" customWidth="1"/>
    <col min="3" max="3" width="2.85546875" style="324" customWidth="1"/>
    <col min="4" max="4" width="45.7109375" style="324" customWidth="1"/>
    <col min="5" max="5" width="9.7109375" style="346" customWidth="1"/>
    <col min="6" max="6" width="9.7109375" style="347" customWidth="1"/>
    <col min="7" max="33" width="9.7109375" style="324" customWidth="1"/>
    <col min="34" max="34" width="1.42578125" style="324" customWidth="1"/>
    <col min="35" max="16384" width="11.42578125" style="324"/>
  </cols>
  <sheetData>
    <row r="1" spans="2:34" ht="18.75" customHeight="1">
      <c r="B1" s="689" t="s">
        <v>73</v>
      </c>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row>
    <row r="2" spans="2:34" ht="12.75" customHeight="1">
      <c r="B2" s="689" t="s">
        <v>249</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row>
    <row r="3" spans="2:34" ht="12.75" customHeight="1">
      <c r="B3" s="689" t="s">
        <v>74</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row>
    <row r="4" spans="2:34" ht="12.75" customHeight="1">
      <c r="E4" s="327"/>
      <c r="F4" s="328"/>
    </row>
    <row r="5" spans="2:34" ht="12.75" customHeight="1">
      <c r="B5" s="325"/>
      <c r="C5" s="325"/>
      <c r="D5" s="325"/>
      <c r="E5" s="351"/>
      <c r="F5" s="351"/>
    </row>
    <row r="6" spans="2:34" s="325" customFormat="1" ht="12.75" customHeight="1">
      <c r="E6" s="19" t="s">
        <v>216</v>
      </c>
      <c r="F6" s="326" t="s">
        <v>6</v>
      </c>
      <c r="G6" s="326" t="s">
        <v>3</v>
      </c>
      <c r="H6" s="326" t="s">
        <v>4</v>
      </c>
      <c r="I6" s="329" t="s">
        <v>5</v>
      </c>
      <c r="J6" s="329" t="s">
        <v>6</v>
      </c>
      <c r="K6" s="329" t="s">
        <v>3</v>
      </c>
      <c r="L6" s="329" t="s">
        <v>4</v>
      </c>
      <c r="M6" s="329" t="s">
        <v>5</v>
      </c>
      <c r="N6" s="329" t="s">
        <v>6</v>
      </c>
      <c r="O6" s="329" t="s">
        <v>3</v>
      </c>
      <c r="P6" s="329" t="s">
        <v>4</v>
      </c>
      <c r="Q6" s="329" t="s">
        <v>5</v>
      </c>
      <c r="R6" s="329" t="s">
        <v>6</v>
      </c>
      <c r="S6" s="329" t="s">
        <v>3</v>
      </c>
      <c r="T6" s="329" t="s">
        <v>4</v>
      </c>
      <c r="U6" s="329" t="s">
        <v>5</v>
      </c>
      <c r="V6" s="329" t="s">
        <v>6</v>
      </c>
      <c r="W6" s="329" t="s">
        <v>3</v>
      </c>
      <c r="X6" s="329" t="s">
        <v>4</v>
      </c>
      <c r="Y6" s="329" t="s">
        <v>5</v>
      </c>
      <c r="Z6" s="329" t="s">
        <v>6</v>
      </c>
      <c r="AA6" s="329" t="s">
        <v>3</v>
      </c>
      <c r="AB6" s="329" t="s">
        <v>4</v>
      </c>
      <c r="AC6" s="329" t="s">
        <v>5</v>
      </c>
      <c r="AD6" s="329" t="s">
        <v>6</v>
      </c>
      <c r="AE6" s="329" t="s">
        <v>3</v>
      </c>
      <c r="AF6" s="329" t="s">
        <v>4</v>
      </c>
      <c r="AG6" s="329" t="s">
        <v>5</v>
      </c>
    </row>
    <row r="7" spans="2:34" s="325" customFormat="1" ht="12.75" customHeight="1" thickBot="1">
      <c r="E7" s="330" t="s">
        <v>43</v>
      </c>
      <c r="F7" s="331" t="s">
        <v>43</v>
      </c>
      <c r="G7" s="331" t="s">
        <v>44</v>
      </c>
      <c r="H7" s="331" t="s">
        <v>44</v>
      </c>
      <c r="I7" s="329" t="s">
        <v>44</v>
      </c>
      <c r="J7" s="329" t="s">
        <v>44</v>
      </c>
      <c r="K7" s="329" t="s">
        <v>45</v>
      </c>
      <c r="L7" s="329" t="s">
        <v>45</v>
      </c>
      <c r="M7" s="329" t="s">
        <v>45</v>
      </c>
      <c r="N7" s="329" t="s">
        <v>45</v>
      </c>
      <c r="O7" s="329" t="s">
        <v>46</v>
      </c>
      <c r="P7" s="329" t="s">
        <v>46</v>
      </c>
      <c r="Q7" s="329" t="s">
        <v>46</v>
      </c>
      <c r="R7" s="329" t="s">
        <v>46</v>
      </c>
      <c r="S7" s="329" t="s">
        <v>237</v>
      </c>
      <c r="T7" s="329" t="s">
        <v>237</v>
      </c>
      <c r="U7" s="329" t="s">
        <v>237</v>
      </c>
      <c r="V7" s="329" t="s">
        <v>237</v>
      </c>
      <c r="W7" s="329" t="s">
        <v>264</v>
      </c>
      <c r="X7" s="329" t="s">
        <v>264</v>
      </c>
      <c r="Y7" s="329" t="s">
        <v>264</v>
      </c>
      <c r="Z7" s="329" t="s">
        <v>264</v>
      </c>
      <c r="AA7" s="329" t="s">
        <v>307</v>
      </c>
      <c r="AB7" s="329" t="s">
        <v>307</v>
      </c>
      <c r="AC7" s="329" t="s">
        <v>307</v>
      </c>
      <c r="AD7" s="329" t="s">
        <v>307</v>
      </c>
      <c r="AE7" s="329" t="s">
        <v>332</v>
      </c>
      <c r="AF7" s="329" t="s">
        <v>332</v>
      </c>
      <c r="AG7" s="329" t="s">
        <v>332</v>
      </c>
    </row>
    <row r="8" spans="2:34" ht="12.75" customHeight="1">
      <c r="B8" s="338" t="s">
        <v>87</v>
      </c>
      <c r="C8" s="350"/>
      <c r="D8" s="350"/>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row>
    <row r="9" spans="2:34" ht="12.75" customHeight="1">
      <c r="B9" s="325"/>
      <c r="C9" s="325" t="s">
        <v>88</v>
      </c>
      <c r="D9" s="325"/>
      <c r="E9" s="352">
        <v>295</v>
      </c>
      <c r="F9" s="333">
        <v>903</v>
      </c>
      <c r="G9" s="66">
        <v>524</v>
      </c>
      <c r="H9" s="66">
        <v>557</v>
      </c>
      <c r="I9" s="66">
        <v>378</v>
      </c>
      <c r="J9" s="66">
        <v>759</v>
      </c>
      <c r="K9" s="66">
        <v>703</v>
      </c>
      <c r="L9" s="66">
        <v>567</v>
      </c>
      <c r="M9" s="66">
        <v>406</v>
      </c>
      <c r="N9" s="66">
        <v>734</v>
      </c>
      <c r="O9" s="66">
        <v>748</v>
      </c>
      <c r="P9" s="66">
        <v>580</v>
      </c>
      <c r="Q9" s="66">
        <v>360</v>
      </c>
      <c r="R9" s="66">
        <v>718</v>
      </c>
      <c r="S9" s="66">
        <v>601</v>
      </c>
      <c r="T9" s="66">
        <v>562</v>
      </c>
      <c r="U9" s="66">
        <v>403</v>
      </c>
      <c r="V9" s="66">
        <v>869</v>
      </c>
      <c r="W9" s="66">
        <v>738</v>
      </c>
      <c r="X9" s="66">
        <v>562</v>
      </c>
      <c r="Y9" s="66">
        <v>344</v>
      </c>
      <c r="Z9" s="66">
        <v>770</v>
      </c>
      <c r="AA9" s="66">
        <v>563</v>
      </c>
      <c r="AB9" s="66">
        <v>471</v>
      </c>
      <c r="AC9" s="66">
        <v>350</v>
      </c>
      <c r="AD9" s="66">
        <v>806</v>
      </c>
      <c r="AE9" s="66">
        <v>704</v>
      </c>
      <c r="AF9" s="66">
        <v>551</v>
      </c>
      <c r="AG9" s="66">
        <v>495</v>
      </c>
    </row>
    <row r="10" spans="2:34" ht="12.75" customHeight="1">
      <c r="B10" s="325"/>
      <c r="C10" s="325" t="s">
        <v>89</v>
      </c>
      <c r="D10" s="325"/>
      <c r="E10" s="352">
        <v>348</v>
      </c>
      <c r="F10" s="333">
        <v>660</v>
      </c>
      <c r="G10" s="66">
        <v>392</v>
      </c>
      <c r="H10" s="66">
        <v>408</v>
      </c>
      <c r="I10" s="66">
        <v>287</v>
      </c>
      <c r="J10" s="66">
        <v>710</v>
      </c>
      <c r="K10" s="66">
        <v>524</v>
      </c>
      <c r="L10" s="66">
        <v>337</v>
      </c>
      <c r="M10" s="66">
        <v>281</v>
      </c>
      <c r="N10" s="66">
        <v>600</v>
      </c>
      <c r="O10" s="66">
        <v>594</v>
      </c>
      <c r="P10" s="66">
        <v>467</v>
      </c>
      <c r="Q10" s="66">
        <v>323</v>
      </c>
      <c r="R10" s="66">
        <v>605</v>
      </c>
      <c r="S10" s="66">
        <v>485</v>
      </c>
      <c r="T10" s="66">
        <v>403</v>
      </c>
      <c r="U10" s="66">
        <v>333</v>
      </c>
      <c r="V10" s="66">
        <v>748</v>
      </c>
      <c r="W10" s="66">
        <v>487</v>
      </c>
      <c r="X10" s="66">
        <v>402</v>
      </c>
      <c r="Y10" s="66">
        <v>290</v>
      </c>
      <c r="Z10" s="66">
        <v>647</v>
      </c>
      <c r="AA10" s="66">
        <v>462</v>
      </c>
      <c r="AB10" s="66">
        <v>395</v>
      </c>
      <c r="AC10" s="66">
        <v>316</v>
      </c>
      <c r="AD10" s="66">
        <v>653</v>
      </c>
      <c r="AE10" s="66">
        <v>464</v>
      </c>
      <c r="AF10" s="66">
        <v>388</v>
      </c>
      <c r="AG10" s="66">
        <v>367</v>
      </c>
    </row>
    <row r="11" spans="2:34" s="325" customFormat="1" ht="12.75" customHeight="1">
      <c r="C11" s="325" t="s">
        <v>90</v>
      </c>
      <c r="E11" s="353">
        <v>62</v>
      </c>
      <c r="F11" s="335">
        <v>75</v>
      </c>
      <c r="G11" s="336">
        <v>64</v>
      </c>
      <c r="H11" s="336">
        <v>73</v>
      </c>
      <c r="I11" s="336">
        <v>38</v>
      </c>
      <c r="J11" s="336">
        <v>88</v>
      </c>
      <c r="K11" s="336">
        <v>81</v>
      </c>
      <c r="L11" s="336">
        <v>63</v>
      </c>
      <c r="M11" s="336">
        <v>58</v>
      </c>
      <c r="N11" s="336">
        <v>93</v>
      </c>
      <c r="O11" s="336">
        <v>107</v>
      </c>
      <c r="P11" s="336">
        <v>99</v>
      </c>
      <c r="Q11" s="336">
        <v>71</v>
      </c>
      <c r="R11" s="336">
        <v>84</v>
      </c>
      <c r="S11" s="336">
        <v>86</v>
      </c>
      <c r="T11" s="336">
        <v>110</v>
      </c>
      <c r="U11" s="336">
        <v>105</v>
      </c>
      <c r="V11" s="336">
        <v>151</v>
      </c>
      <c r="W11" s="336">
        <v>99</v>
      </c>
      <c r="X11" s="336">
        <v>86</v>
      </c>
      <c r="Y11" s="336">
        <v>57</v>
      </c>
      <c r="Z11" s="336">
        <v>101</v>
      </c>
      <c r="AA11" s="336">
        <v>86</v>
      </c>
      <c r="AB11" s="336">
        <v>104</v>
      </c>
      <c r="AC11" s="336">
        <v>87</v>
      </c>
      <c r="AD11" s="336">
        <v>116</v>
      </c>
      <c r="AE11" s="336">
        <v>110</v>
      </c>
      <c r="AF11" s="336">
        <v>105</v>
      </c>
      <c r="AG11" s="336">
        <v>128</v>
      </c>
    </row>
    <row r="12" spans="2:34" s="325" customFormat="1" ht="12.75" customHeight="1">
      <c r="C12" s="325" t="s">
        <v>153</v>
      </c>
      <c r="E12" s="352">
        <f>SUM(E9:E11)</f>
        <v>705</v>
      </c>
      <c r="F12" s="352">
        <f t="shared" ref="F12:P12" si="0">SUM(F9:F11)</f>
        <v>1638</v>
      </c>
      <c r="G12" s="352">
        <f t="shared" si="0"/>
        <v>980</v>
      </c>
      <c r="H12" s="352">
        <f t="shared" si="0"/>
        <v>1038</v>
      </c>
      <c r="I12" s="352">
        <f t="shared" si="0"/>
        <v>703</v>
      </c>
      <c r="J12" s="352">
        <f t="shared" si="0"/>
        <v>1557</v>
      </c>
      <c r="K12" s="352">
        <f t="shared" si="0"/>
        <v>1308</v>
      </c>
      <c r="L12" s="352">
        <f t="shared" si="0"/>
        <v>967</v>
      </c>
      <c r="M12" s="352">
        <f t="shared" si="0"/>
        <v>745</v>
      </c>
      <c r="N12" s="352">
        <f t="shared" si="0"/>
        <v>1427</v>
      </c>
      <c r="O12" s="352">
        <f t="shared" si="0"/>
        <v>1449</v>
      </c>
      <c r="P12" s="352">
        <f t="shared" si="0"/>
        <v>1146</v>
      </c>
      <c r="Q12" s="352">
        <f t="shared" ref="Q12:R12" si="1">SUM(Q9:Q11)</f>
        <v>754</v>
      </c>
      <c r="R12" s="352">
        <f t="shared" si="1"/>
        <v>1407</v>
      </c>
      <c r="S12" s="352">
        <f t="shared" ref="S12:T12" si="2">SUM(S9:S11)</f>
        <v>1172</v>
      </c>
      <c r="T12" s="352">
        <f t="shared" si="2"/>
        <v>1075</v>
      </c>
      <c r="U12" s="352">
        <f t="shared" ref="U12:V12" si="3">SUM(U9:U11)</f>
        <v>841</v>
      </c>
      <c r="V12" s="352">
        <f t="shared" si="3"/>
        <v>1768</v>
      </c>
      <c r="W12" s="352">
        <f t="shared" ref="W12:X12" si="4">SUM(W9:W11)</f>
        <v>1324</v>
      </c>
      <c r="X12" s="352">
        <f t="shared" si="4"/>
        <v>1050</v>
      </c>
      <c r="Y12" s="352">
        <f t="shared" ref="Y12:Z12" si="5">SUM(Y9:Y11)</f>
        <v>691</v>
      </c>
      <c r="Z12" s="352">
        <f t="shared" si="5"/>
        <v>1518</v>
      </c>
      <c r="AA12" s="352">
        <f t="shared" ref="AA12:AB12" si="6">SUM(AA9:AA11)</f>
        <v>1111</v>
      </c>
      <c r="AB12" s="352">
        <f t="shared" si="6"/>
        <v>970</v>
      </c>
      <c r="AC12" s="352">
        <f t="shared" ref="AC12:AD12" si="7">SUM(AC9:AC11)</f>
        <v>753</v>
      </c>
      <c r="AD12" s="352">
        <f t="shared" si="7"/>
        <v>1575</v>
      </c>
      <c r="AE12" s="352">
        <f t="shared" ref="AE12:AF12" si="8">SUM(AE9:AE11)</f>
        <v>1278</v>
      </c>
      <c r="AF12" s="352">
        <f t="shared" si="8"/>
        <v>1044</v>
      </c>
      <c r="AG12" s="352">
        <f>SUM(AG9:AG11)</f>
        <v>990</v>
      </c>
    </row>
    <row r="13" spans="2:34" s="325" customFormat="1" ht="12.75" customHeight="1">
      <c r="E13" s="352"/>
      <c r="F13" s="333"/>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row>
    <row r="14" spans="2:34" ht="12.75" customHeight="1">
      <c r="B14" s="325"/>
      <c r="C14" s="325" t="s">
        <v>154</v>
      </c>
      <c r="D14" s="325"/>
      <c r="E14" s="353">
        <v>6</v>
      </c>
      <c r="F14" s="335">
        <v>1</v>
      </c>
      <c r="G14" s="66">
        <v>1</v>
      </c>
      <c r="H14" s="66">
        <v>0</v>
      </c>
      <c r="I14" s="66">
        <v>0</v>
      </c>
      <c r="J14" s="66">
        <v>0</v>
      </c>
      <c r="K14" s="66">
        <v>0</v>
      </c>
      <c r="L14" s="66">
        <v>0</v>
      </c>
      <c r="M14" s="66">
        <v>0</v>
      </c>
      <c r="N14" s="66">
        <v>0</v>
      </c>
      <c r="O14" s="66">
        <v>0</v>
      </c>
      <c r="P14" s="66">
        <v>0</v>
      </c>
      <c r="Q14" s="66">
        <v>0</v>
      </c>
      <c r="R14" s="66">
        <v>0</v>
      </c>
      <c r="S14" s="66">
        <v>0</v>
      </c>
      <c r="T14" s="66">
        <v>0</v>
      </c>
      <c r="U14" s="66">
        <v>0</v>
      </c>
      <c r="V14" s="66">
        <v>0</v>
      </c>
      <c r="W14" s="66">
        <v>0</v>
      </c>
      <c r="X14" s="66">
        <v>0</v>
      </c>
      <c r="Y14" s="66">
        <v>0</v>
      </c>
      <c r="Z14" s="66">
        <v>0</v>
      </c>
      <c r="AA14" s="66">
        <v>0</v>
      </c>
      <c r="AB14" s="66">
        <v>0</v>
      </c>
      <c r="AC14" s="66">
        <v>0</v>
      </c>
      <c r="AD14" s="66">
        <v>0</v>
      </c>
      <c r="AE14" s="66">
        <v>0</v>
      </c>
      <c r="AF14" s="66">
        <v>0</v>
      </c>
      <c r="AG14" s="66">
        <v>0</v>
      </c>
    </row>
    <row r="15" spans="2:34" ht="12.75" customHeight="1" thickBot="1">
      <c r="B15" s="325"/>
      <c r="C15" s="325" t="s">
        <v>91</v>
      </c>
      <c r="D15" s="325"/>
      <c r="E15" s="339">
        <f>+E12+E14</f>
        <v>711</v>
      </c>
      <c r="F15" s="339">
        <f>+F12+F14</f>
        <v>1639</v>
      </c>
      <c r="G15" s="339">
        <f>+G12+G14</f>
        <v>981</v>
      </c>
      <c r="H15" s="339">
        <f t="shared" ref="H15:N15" si="9">SUM(H9:H11)</f>
        <v>1038</v>
      </c>
      <c r="I15" s="339">
        <f t="shared" si="9"/>
        <v>703</v>
      </c>
      <c r="J15" s="339">
        <f t="shared" si="9"/>
        <v>1557</v>
      </c>
      <c r="K15" s="339">
        <f t="shared" si="9"/>
        <v>1308</v>
      </c>
      <c r="L15" s="339">
        <f t="shared" si="9"/>
        <v>967</v>
      </c>
      <c r="M15" s="339">
        <f t="shared" si="9"/>
        <v>745</v>
      </c>
      <c r="N15" s="339">
        <f t="shared" si="9"/>
        <v>1427</v>
      </c>
      <c r="O15" s="339">
        <f t="shared" ref="O15:T15" si="10">SUM(O9:O11)</f>
        <v>1449</v>
      </c>
      <c r="P15" s="339">
        <f t="shared" si="10"/>
        <v>1146</v>
      </c>
      <c r="Q15" s="339">
        <f>SUM(Q9:Q11)</f>
        <v>754</v>
      </c>
      <c r="R15" s="339">
        <f t="shared" si="10"/>
        <v>1407</v>
      </c>
      <c r="S15" s="339">
        <f t="shared" si="10"/>
        <v>1172</v>
      </c>
      <c r="T15" s="339">
        <f t="shared" si="10"/>
        <v>1075</v>
      </c>
      <c r="U15" s="339">
        <f t="shared" ref="U15:V15" si="11">SUM(U9:U11)</f>
        <v>841</v>
      </c>
      <c r="V15" s="339">
        <f t="shared" si="11"/>
        <v>1768</v>
      </c>
      <c r="W15" s="339">
        <f t="shared" ref="W15:X15" si="12">SUM(W9:W11)</f>
        <v>1324</v>
      </c>
      <c r="X15" s="339">
        <f t="shared" si="12"/>
        <v>1050</v>
      </c>
      <c r="Y15" s="339">
        <f t="shared" ref="Y15:Z15" si="13">SUM(Y9:Y11)</f>
        <v>691</v>
      </c>
      <c r="Z15" s="339">
        <f t="shared" si="13"/>
        <v>1518</v>
      </c>
      <c r="AA15" s="339">
        <f t="shared" ref="AA15:AB15" si="14">SUM(AA9:AA11)</f>
        <v>1111</v>
      </c>
      <c r="AB15" s="339">
        <f t="shared" si="14"/>
        <v>970</v>
      </c>
      <c r="AC15" s="339">
        <f t="shared" ref="AC15:AD15" si="15">SUM(AC9:AC11)</f>
        <v>753</v>
      </c>
      <c r="AD15" s="339">
        <f t="shared" si="15"/>
        <v>1575</v>
      </c>
      <c r="AE15" s="339">
        <f t="shared" ref="AE15:AF15" si="16">SUM(AE9:AE11)</f>
        <v>1278</v>
      </c>
      <c r="AF15" s="339">
        <f t="shared" si="16"/>
        <v>1044</v>
      </c>
      <c r="AG15" s="339">
        <f>SUM(AG9:AG11)</f>
        <v>990</v>
      </c>
    </row>
    <row r="16" spans="2:34" ht="12.75" customHeight="1">
      <c r="B16" s="325"/>
      <c r="C16" s="325"/>
      <c r="D16" s="325"/>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row>
    <row r="17" spans="2:33" ht="12.75" customHeight="1">
      <c r="B17" s="338" t="s">
        <v>187</v>
      </c>
      <c r="C17" s="325"/>
      <c r="D17" s="325"/>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row>
    <row r="18" spans="2:33" ht="12.75" customHeight="1">
      <c r="B18" s="325"/>
      <c r="C18" s="325" t="s">
        <v>88</v>
      </c>
      <c r="D18" s="325"/>
      <c r="E18" s="342"/>
      <c r="F18" s="342">
        <f>F26-F9</f>
        <v>443</v>
      </c>
      <c r="G18" s="342">
        <f t="shared" ref="G18:N18" si="17">G26-G9</f>
        <v>-150</v>
      </c>
      <c r="H18" s="342">
        <f t="shared" si="17"/>
        <v>-165</v>
      </c>
      <c r="I18" s="342">
        <f t="shared" si="17"/>
        <v>26</v>
      </c>
      <c r="J18" s="342">
        <f t="shared" si="17"/>
        <v>528</v>
      </c>
      <c r="K18" s="342">
        <f t="shared" si="17"/>
        <v>-312</v>
      </c>
      <c r="L18" s="342">
        <f t="shared" si="17"/>
        <v>-192</v>
      </c>
      <c r="M18" s="342">
        <f t="shared" si="17"/>
        <v>41</v>
      </c>
      <c r="N18" s="342">
        <f t="shared" si="17"/>
        <v>627</v>
      </c>
      <c r="O18" s="342">
        <f t="shared" ref="O18:P20" si="18">O26-O9</f>
        <v>-383</v>
      </c>
      <c r="P18" s="342">
        <f t="shared" si="18"/>
        <v>-249</v>
      </c>
      <c r="Q18" s="342">
        <f t="shared" ref="Q18:R18" si="19">Q26-Q9</f>
        <v>-72</v>
      </c>
      <c r="R18" s="342">
        <f t="shared" si="19"/>
        <v>548</v>
      </c>
      <c r="S18" s="342">
        <f t="shared" ref="S18:T18" si="20">S26-S9</f>
        <v>-331</v>
      </c>
      <c r="T18" s="342">
        <f t="shared" si="20"/>
        <v>-79</v>
      </c>
      <c r="U18" s="342">
        <f t="shared" ref="U18:V18" si="21">U26-U9</f>
        <v>-49</v>
      </c>
      <c r="V18" s="342">
        <f t="shared" si="21"/>
        <v>538</v>
      </c>
      <c r="W18" s="342">
        <f t="shared" ref="W18:X18" si="22">W26-W9</f>
        <v>-315</v>
      </c>
      <c r="X18" s="342">
        <f t="shared" si="22"/>
        <v>-248</v>
      </c>
      <c r="Y18" s="342">
        <f t="shared" ref="Y18:Z18" si="23">Y26-Y9</f>
        <v>-2</v>
      </c>
      <c r="Z18" s="342">
        <f t="shared" si="23"/>
        <v>457</v>
      </c>
      <c r="AA18" s="342">
        <f t="shared" ref="AA18:AB18" si="24">AA26-AA9</f>
        <v>-233</v>
      </c>
      <c r="AB18" s="342">
        <f t="shared" si="24"/>
        <v>-177</v>
      </c>
      <c r="AC18" s="342">
        <f t="shared" ref="AC18:AD18" si="25">AC26-AC9</f>
        <v>274</v>
      </c>
      <c r="AD18" s="342">
        <f t="shared" si="25"/>
        <v>342</v>
      </c>
      <c r="AE18" s="342">
        <f t="shared" ref="AE18:AF18" si="26">AE26-AE9</f>
        <v>-350</v>
      </c>
      <c r="AF18" s="342">
        <f t="shared" si="26"/>
        <v>-198</v>
      </c>
      <c r="AG18" s="342">
        <f t="shared" ref="AG18" si="27">AG26-AG9</f>
        <v>45</v>
      </c>
    </row>
    <row r="19" spans="2:33" ht="12.75" customHeight="1">
      <c r="B19" s="325"/>
      <c r="C19" s="325" t="s">
        <v>89</v>
      </c>
      <c r="D19" s="325"/>
      <c r="E19" s="342"/>
      <c r="F19" s="342">
        <f t="shared" ref="F19" si="28">F27-F10</f>
        <v>241</v>
      </c>
      <c r="G19" s="342">
        <f t="shared" ref="G19:N19" si="29">G27-G10</f>
        <v>-99</v>
      </c>
      <c r="H19" s="342">
        <f t="shared" si="29"/>
        <v>-69</v>
      </c>
      <c r="I19" s="342">
        <f t="shared" si="29"/>
        <v>22</v>
      </c>
      <c r="J19" s="342">
        <f t="shared" si="29"/>
        <v>371</v>
      </c>
      <c r="K19" s="342">
        <f t="shared" si="29"/>
        <v>-254</v>
      </c>
      <c r="L19" s="342">
        <f t="shared" si="29"/>
        <v>-79</v>
      </c>
      <c r="M19" s="342">
        <f t="shared" si="29"/>
        <v>53</v>
      </c>
      <c r="N19" s="342">
        <f t="shared" si="29"/>
        <v>440</v>
      </c>
      <c r="O19" s="342">
        <f t="shared" si="18"/>
        <v>-271</v>
      </c>
      <c r="P19" s="342">
        <f t="shared" si="18"/>
        <v>-181</v>
      </c>
      <c r="Q19" s="342">
        <f t="shared" ref="Q19:R19" si="30">Q27-Q10</f>
        <v>-45</v>
      </c>
      <c r="R19" s="342">
        <f t="shared" si="30"/>
        <v>395</v>
      </c>
      <c r="S19" s="342">
        <f t="shared" ref="S19:T19" si="31">S27-S10</f>
        <v>-225</v>
      </c>
      <c r="T19" s="342">
        <f t="shared" si="31"/>
        <v>-9</v>
      </c>
      <c r="U19" s="342">
        <f t="shared" ref="U19:V19" si="32">U27-U10</f>
        <v>-9</v>
      </c>
      <c r="V19" s="342">
        <f t="shared" si="32"/>
        <v>271</v>
      </c>
      <c r="W19" s="342">
        <f t="shared" ref="W19:X19" si="33">W27-W10</f>
        <v>-169</v>
      </c>
      <c r="X19" s="342">
        <f t="shared" si="33"/>
        <v>-161</v>
      </c>
      <c r="Y19" s="342">
        <f t="shared" ref="Y19:Z19" si="34">Y27-Y10</f>
        <v>-24</v>
      </c>
      <c r="Z19" s="342">
        <f t="shared" si="34"/>
        <v>247</v>
      </c>
      <c r="AA19" s="342">
        <f t="shared" ref="AA19:AB19" si="35">AA27-AA10</f>
        <v>-125</v>
      </c>
      <c r="AB19" s="342">
        <f t="shared" si="35"/>
        <v>-113</v>
      </c>
      <c r="AC19" s="342">
        <f t="shared" ref="AC19:AD19" si="36">AC27-AC10</f>
        <v>135</v>
      </c>
      <c r="AD19" s="342">
        <f t="shared" si="36"/>
        <v>254</v>
      </c>
      <c r="AE19" s="342">
        <f t="shared" ref="AE19:AF19" si="37">AE27-AE10</f>
        <v>-196</v>
      </c>
      <c r="AF19" s="342">
        <f t="shared" si="37"/>
        <v>-113</v>
      </c>
      <c r="AG19" s="342">
        <f t="shared" ref="AG19" si="38">AG27-AG10</f>
        <v>11</v>
      </c>
    </row>
    <row r="20" spans="2:33" ht="12.75" customHeight="1">
      <c r="B20" s="325"/>
      <c r="C20" s="325" t="s">
        <v>90</v>
      </c>
      <c r="D20" s="325"/>
      <c r="E20" s="342"/>
      <c r="F20" s="342">
        <f t="shared" ref="F20" si="39">F28-F11</f>
        <v>21</v>
      </c>
      <c r="G20" s="342">
        <f t="shared" ref="G20:N20" si="40">G28-G11</f>
        <v>-7</v>
      </c>
      <c r="H20" s="342">
        <f t="shared" si="40"/>
        <v>-3</v>
      </c>
      <c r="I20" s="342">
        <f t="shared" si="40"/>
        <v>4</v>
      </c>
      <c r="J20" s="342">
        <f t="shared" si="40"/>
        <v>39</v>
      </c>
      <c r="K20" s="342">
        <f t="shared" si="40"/>
        <v>-28</v>
      </c>
      <c r="L20" s="342">
        <f t="shared" si="40"/>
        <v>-13</v>
      </c>
      <c r="M20" s="342">
        <f t="shared" si="40"/>
        <v>18</v>
      </c>
      <c r="N20" s="342">
        <f t="shared" si="40"/>
        <v>54</v>
      </c>
      <c r="O20" s="342">
        <f t="shared" si="18"/>
        <v>-40</v>
      </c>
      <c r="P20" s="342">
        <f t="shared" si="18"/>
        <v>-17</v>
      </c>
      <c r="Q20" s="342">
        <f t="shared" ref="Q20:R20" si="41">Q28-Q11</f>
        <v>-10</v>
      </c>
      <c r="R20" s="342">
        <f t="shared" si="41"/>
        <v>58</v>
      </c>
      <c r="S20" s="342">
        <f t="shared" ref="S20:T20" si="42">S28-S11</f>
        <v>-29</v>
      </c>
      <c r="T20" s="342">
        <f t="shared" si="42"/>
        <v>67</v>
      </c>
      <c r="U20" s="342">
        <f t="shared" ref="U20:V20" si="43">U28-U11</f>
        <v>-32</v>
      </c>
      <c r="V20" s="342">
        <f t="shared" si="43"/>
        <v>18</v>
      </c>
      <c r="W20" s="342">
        <f t="shared" ref="W20:X20" si="44">W28-W11</f>
        <v>-36</v>
      </c>
      <c r="X20" s="342">
        <f t="shared" si="44"/>
        <v>-33</v>
      </c>
      <c r="Y20" s="342">
        <f t="shared" ref="Y20:Z20" si="45">Y28-Y11</f>
        <v>-8</v>
      </c>
      <c r="Z20" s="342">
        <f t="shared" si="45"/>
        <v>50</v>
      </c>
      <c r="AA20" s="342">
        <f t="shared" ref="AA20:AB20" si="46">AA28-AA11</f>
        <v>19</v>
      </c>
      <c r="AB20" s="342">
        <f t="shared" si="46"/>
        <v>-22</v>
      </c>
      <c r="AC20" s="342">
        <f t="shared" ref="AC20:AD20" si="47">AC28-AC11</f>
        <v>8</v>
      </c>
      <c r="AD20" s="342">
        <f t="shared" si="47"/>
        <v>42</v>
      </c>
      <c r="AE20" s="342">
        <f t="shared" ref="AE20:AF20" si="48">AE28-AE11</f>
        <v>-29</v>
      </c>
      <c r="AF20" s="342">
        <f t="shared" si="48"/>
        <v>26</v>
      </c>
      <c r="AG20" s="342">
        <f t="shared" ref="AG20" si="49">AG28-AG11</f>
        <v>-6</v>
      </c>
    </row>
    <row r="21" spans="2:33" ht="12.75" customHeight="1">
      <c r="B21" s="325"/>
      <c r="C21" s="325" t="s">
        <v>92</v>
      </c>
      <c r="D21" s="325"/>
      <c r="E21" s="333"/>
      <c r="F21" s="354">
        <f>SUM(F18:F20)</f>
        <v>705</v>
      </c>
      <c r="G21" s="354">
        <f t="shared" ref="G21:N21" si="50">SUM(G18:G20)</f>
        <v>-256</v>
      </c>
      <c r="H21" s="354">
        <f t="shared" si="50"/>
        <v>-237</v>
      </c>
      <c r="I21" s="354">
        <f t="shared" si="50"/>
        <v>52</v>
      </c>
      <c r="J21" s="354">
        <f t="shared" si="50"/>
        <v>938</v>
      </c>
      <c r="K21" s="354">
        <f t="shared" si="50"/>
        <v>-594</v>
      </c>
      <c r="L21" s="354">
        <f t="shared" si="50"/>
        <v>-284</v>
      </c>
      <c r="M21" s="354">
        <f t="shared" si="50"/>
        <v>112</v>
      </c>
      <c r="N21" s="354">
        <f t="shared" si="50"/>
        <v>1121</v>
      </c>
      <c r="O21" s="354">
        <f t="shared" ref="O21:T21" si="51">SUM(O18:O20)</f>
        <v>-694</v>
      </c>
      <c r="P21" s="354">
        <f t="shared" si="51"/>
        <v>-447</v>
      </c>
      <c r="Q21" s="354">
        <f t="shared" si="51"/>
        <v>-127</v>
      </c>
      <c r="R21" s="354">
        <f t="shared" si="51"/>
        <v>1001</v>
      </c>
      <c r="S21" s="354">
        <f t="shared" si="51"/>
        <v>-585</v>
      </c>
      <c r="T21" s="354">
        <f t="shared" si="51"/>
        <v>-21</v>
      </c>
      <c r="U21" s="354">
        <f t="shared" ref="U21:V21" si="52">SUM(U18:U20)</f>
        <v>-90</v>
      </c>
      <c r="V21" s="354">
        <f t="shared" si="52"/>
        <v>827</v>
      </c>
      <c r="W21" s="354">
        <f t="shared" ref="W21:X21" si="53">SUM(W18:W20)</f>
        <v>-520</v>
      </c>
      <c r="X21" s="354">
        <f t="shared" si="53"/>
        <v>-442</v>
      </c>
      <c r="Y21" s="354">
        <f t="shared" ref="Y21:Z21" si="54">SUM(Y18:Y20)</f>
        <v>-34</v>
      </c>
      <c r="Z21" s="354">
        <f t="shared" si="54"/>
        <v>754</v>
      </c>
      <c r="AA21" s="354">
        <f t="shared" ref="AA21:AB21" si="55">SUM(AA18:AA20)</f>
        <v>-339</v>
      </c>
      <c r="AB21" s="354">
        <f t="shared" si="55"/>
        <v>-312</v>
      </c>
      <c r="AC21" s="354">
        <f t="shared" ref="AC21:AD21" si="56">SUM(AC18:AC20)</f>
        <v>417</v>
      </c>
      <c r="AD21" s="354">
        <f t="shared" si="56"/>
        <v>638</v>
      </c>
      <c r="AE21" s="354">
        <f t="shared" ref="AE21:AF21" si="57">SUM(AE18:AE20)</f>
        <v>-575</v>
      </c>
      <c r="AF21" s="354">
        <f t="shared" si="57"/>
        <v>-285</v>
      </c>
      <c r="AG21" s="354">
        <f>SUM(AG18:AG20)</f>
        <v>50</v>
      </c>
    </row>
    <row r="22" spans="2:33" ht="6" customHeight="1">
      <c r="B22" s="325"/>
      <c r="C22" s="325"/>
      <c r="D22" s="325"/>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row>
    <row r="23" spans="2:33" ht="12.75" customHeight="1">
      <c r="B23" s="355" t="s">
        <v>271</v>
      </c>
      <c r="C23" s="325"/>
      <c r="D23" s="325"/>
      <c r="E23" s="342"/>
      <c r="F23" s="387">
        <v>-1</v>
      </c>
      <c r="G23" s="387">
        <v>-1</v>
      </c>
      <c r="H23" s="387">
        <f t="shared" ref="H23:N23" si="58">H31-H17</f>
        <v>0</v>
      </c>
      <c r="I23" s="387">
        <f t="shared" si="58"/>
        <v>0</v>
      </c>
      <c r="J23" s="387">
        <f t="shared" si="58"/>
        <v>0</v>
      </c>
      <c r="K23" s="387">
        <f t="shared" si="58"/>
        <v>0</v>
      </c>
      <c r="L23" s="387">
        <f t="shared" si="58"/>
        <v>0</v>
      </c>
      <c r="M23" s="387">
        <f t="shared" si="58"/>
        <v>0</v>
      </c>
      <c r="N23" s="387">
        <f t="shared" si="58"/>
        <v>0</v>
      </c>
      <c r="O23" s="387">
        <f t="shared" ref="O23:T23" si="59">O31-O17</f>
        <v>0</v>
      </c>
      <c r="P23" s="387">
        <f t="shared" si="59"/>
        <v>0</v>
      </c>
      <c r="Q23" s="387">
        <f t="shared" si="59"/>
        <v>0</v>
      </c>
      <c r="R23" s="387">
        <f t="shared" si="59"/>
        <v>0</v>
      </c>
      <c r="S23" s="387">
        <f t="shared" si="59"/>
        <v>0</v>
      </c>
      <c r="T23" s="387">
        <f t="shared" si="59"/>
        <v>0</v>
      </c>
      <c r="U23" s="387">
        <f t="shared" ref="U23:V23" si="60">U31-U17</f>
        <v>0</v>
      </c>
      <c r="V23" s="387">
        <f t="shared" si="60"/>
        <v>0</v>
      </c>
      <c r="W23" s="387">
        <f t="shared" ref="W23:X23" si="61">W31-W17</f>
        <v>0</v>
      </c>
      <c r="X23" s="387">
        <f t="shared" si="61"/>
        <v>0</v>
      </c>
      <c r="Y23" s="387">
        <f t="shared" ref="Y23:Z23" si="62">Y31-Y17</f>
        <v>0</v>
      </c>
      <c r="Z23" s="387">
        <f t="shared" si="62"/>
        <v>0</v>
      </c>
      <c r="AA23" s="387">
        <f t="shared" ref="AA23:AB23" si="63">AA31-AA17</f>
        <v>0</v>
      </c>
      <c r="AB23" s="387">
        <f t="shared" si="63"/>
        <v>0</v>
      </c>
      <c r="AC23" s="387">
        <f t="shared" ref="AC23:AD23" si="64">AC31-AC17</f>
        <v>0</v>
      </c>
      <c r="AD23" s="387">
        <f t="shared" si="64"/>
        <v>0</v>
      </c>
      <c r="AE23" s="387">
        <f t="shared" ref="AE23:AF23" si="65">AE31-AE17</f>
        <v>0</v>
      </c>
      <c r="AF23" s="387">
        <f t="shared" si="65"/>
        <v>0</v>
      </c>
      <c r="AG23" s="387">
        <f>AG31-AG17</f>
        <v>0</v>
      </c>
    </row>
    <row r="24" spans="2:33" ht="12.75" customHeight="1">
      <c r="B24" s="325"/>
      <c r="C24" s="325"/>
      <c r="D24" s="325"/>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row>
    <row r="25" spans="2:33" ht="12.75" customHeight="1">
      <c r="B25" s="338" t="s">
        <v>93</v>
      </c>
      <c r="C25" s="325"/>
      <c r="D25" s="325"/>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row>
    <row r="26" spans="2:33" ht="12.75" customHeight="1">
      <c r="B26" s="325"/>
      <c r="C26" s="325" t="s">
        <v>88</v>
      </c>
      <c r="D26" s="325"/>
      <c r="E26" s="352"/>
      <c r="F26" s="352">
        <v>1346</v>
      </c>
      <c r="G26" s="352">
        <v>374</v>
      </c>
      <c r="H26" s="352">
        <v>392</v>
      </c>
      <c r="I26" s="352">
        <v>404</v>
      </c>
      <c r="J26" s="352">
        <v>1287</v>
      </c>
      <c r="K26" s="352">
        <v>391</v>
      </c>
      <c r="L26" s="352">
        <v>375</v>
      </c>
      <c r="M26" s="352">
        <v>447</v>
      </c>
      <c r="N26" s="352">
        <v>1361</v>
      </c>
      <c r="O26" s="352">
        <v>365</v>
      </c>
      <c r="P26" s="352">
        <v>331</v>
      </c>
      <c r="Q26" s="352">
        <v>288</v>
      </c>
      <c r="R26" s="352">
        <v>1266</v>
      </c>
      <c r="S26" s="352">
        <v>270</v>
      </c>
      <c r="T26" s="352">
        <v>483</v>
      </c>
      <c r="U26" s="352">
        <v>354</v>
      </c>
      <c r="V26" s="352">
        <v>1407</v>
      </c>
      <c r="W26" s="352">
        <v>423</v>
      </c>
      <c r="X26" s="352">
        <v>314</v>
      </c>
      <c r="Y26" s="352">
        <v>342</v>
      </c>
      <c r="Z26" s="352">
        <v>1227</v>
      </c>
      <c r="AA26" s="352">
        <v>330</v>
      </c>
      <c r="AB26" s="352">
        <v>294</v>
      </c>
      <c r="AC26" s="352">
        <v>624</v>
      </c>
      <c r="AD26" s="352">
        <v>1148</v>
      </c>
      <c r="AE26" s="352">
        <v>354</v>
      </c>
      <c r="AF26" s="352">
        <v>353</v>
      </c>
      <c r="AG26" s="352">
        <v>540</v>
      </c>
    </row>
    <row r="27" spans="2:33" ht="12.75" customHeight="1">
      <c r="B27" s="325"/>
      <c r="C27" s="325" t="s">
        <v>89</v>
      </c>
      <c r="D27" s="325"/>
      <c r="E27" s="352"/>
      <c r="F27" s="352">
        <v>901</v>
      </c>
      <c r="G27" s="352">
        <v>293</v>
      </c>
      <c r="H27" s="352">
        <v>339</v>
      </c>
      <c r="I27" s="352">
        <v>309</v>
      </c>
      <c r="J27" s="352">
        <v>1081</v>
      </c>
      <c r="K27" s="352">
        <v>270</v>
      </c>
      <c r="L27" s="352">
        <v>258</v>
      </c>
      <c r="M27" s="352">
        <v>334</v>
      </c>
      <c r="N27" s="352">
        <v>1040</v>
      </c>
      <c r="O27" s="352">
        <v>323</v>
      </c>
      <c r="P27" s="352">
        <v>286</v>
      </c>
      <c r="Q27" s="352">
        <v>278</v>
      </c>
      <c r="R27" s="352">
        <v>1000</v>
      </c>
      <c r="S27" s="352">
        <v>260</v>
      </c>
      <c r="T27" s="352">
        <v>394</v>
      </c>
      <c r="U27" s="352">
        <v>324</v>
      </c>
      <c r="V27" s="352">
        <v>1019</v>
      </c>
      <c r="W27" s="352">
        <v>318</v>
      </c>
      <c r="X27" s="352">
        <v>241</v>
      </c>
      <c r="Y27" s="352">
        <v>266</v>
      </c>
      <c r="Z27" s="352">
        <v>894</v>
      </c>
      <c r="AA27" s="352">
        <v>337</v>
      </c>
      <c r="AB27" s="352">
        <v>282</v>
      </c>
      <c r="AC27" s="352">
        <v>451</v>
      </c>
      <c r="AD27" s="352">
        <v>907</v>
      </c>
      <c r="AE27" s="352">
        <v>268</v>
      </c>
      <c r="AF27" s="352">
        <v>275</v>
      </c>
      <c r="AG27" s="352">
        <v>378</v>
      </c>
    </row>
    <row r="28" spans="2:33" ht="12.75" customHeight="1">
      <c r="B28" s="325"/>
      <c r="C28" s="325" t="s">
        <v>90</v>
      </c>
      <c r="D28" s="325"/>
      <c r="E28" s="352"/>
      <c r="F28" s="353">
        <v>96</v>
      </c>
      <c r="G28" s="353">
        <v>57</v>
      </c>
      <c r="H28" s="353">
        <v>70</v>
      </c>
      <c r="I28" s="353">
        <v>42</v>
      </c>
      <c r="J28" s="353">
        <v>127</v>
      </c>
      <c r="K28" s="353">
        <v>53</v>
      </c>
      <c r="L28" s="353">
        <v>50</v>
      </c>
      <c r="M28" s="353">
        <v>76</v>
      </c>
      <c r="N28" s="353">
        <v>147</v>
      </c>
      <c r="O28" s="353">
        <v>67</v>
      </c>
      <c r="P28" s="353">
        <v>82</v>
      </c>
      <c r="Q28" s="353">
        <v>61</v>
      </c>
      <c r="R28" s="353">
        <v>142</v>
      </c>
      <c r="S28" s="353">
        <v>57</v>
      </c>
      <c r="T28" s="353">
        <v>177</v>
      </c>
      <c r="U28" s="353">
        <v>73</v>
      </c>
      <c r="V28" s="353">
        <v>169</v>
      </c>
      <c r="W28" s="353">
        <v>63</v>
      </c>
      <c r="X28" s="353">
        <v>53</v>
      </c>
      <c r="Y28" s="353">
        <v>49</v>
      </c>
      <c r="Z28" s="353">
        <v>151</v>
      </c>
      <c r="AA28" s="353">
        <v>105</v>
      </c>
      <c r="AB28" s="353">
        <v>82</v>
      </c>
      <c r="AC28" s="353">
        <v>95</v>
      </c>
      <c r="AD28" s="353">
        <v>158</v>
      </c>
      <c r="AE28" s="353">
        <v>81</v>
      </c>
      <c r="AF28" s="353">
        <v>131</v>
      </c>
      <c r="AG28" s="353">
        <v>122</v>
      </c>
    </row>
    <row r="29" spans="2:33" ht="14.25" thickBot="1">
      <c r="B29" s="325"/>
      <c r="C29" s="325" t="s">
        <v>188</v>
      </c>
      <c r="D29" s="325"/>
      <c r="E29" s="333"/>
      <c r="F29" s="339">
        <f>SUM(F26:F28)</f>
        <v>2343</v>
      </c>
      <c r="G29" s="339">
        <f>SUM(G26:G28)</f>
        <v>724</v>
      </c>
      <c r="H29" s="339">
        <f t="shared" ref="H29:N29" si="66">SUM(H26:H28)</f>
        <v>801</v>
      </c>
      <c r="I29" s="339">
        <f t="shared" si="66"/>
        <v>755</v>
      </c>
      <c r="J29" s="339">
        <f t="shared" si="66"/>
        <v>2495</v>
      </c>
      <c r="K29" s="339">
        <f t="shared" si="66"/>
        <v>714</v>
      </c>
      <c r="L29" s="339">
        <f t="shared" si="66"/>
        <v>683</v>
      </c>
      <c r="M29" s="339">
        <f t="shared" si="66"/>
        <v>857</v>
      </c>
      <c r="N29" s="339">
        <f t="shared" si="66"/>
        <v>2548</v>
      </c>
      <c r="O29" s="339">
        <f t="shared" ref="O29:T29" si="67">SUM(O26:O28)</f>
        <v>755</v>
      </c>
      <c r="P29" s="339">
        <f t="shared" si="67"/>
        <v>699</v>
      </c>
      <c r="Q29" s="339">
        <f t="shared" si="67"/>
        <v>627</v>
      </c>
      <c r="R29" s="339">
        <f t="shared" si="67"/>
        <v>2408</v>
      </c>
      <c r="S29" s="339">
        <f t="shared" si="67"/>
        <v>587</v>
      </c>
      <c r="T29" s="339">
        <f t="shared" si="67"/>
        <v>1054</v>
      </c>
      <c r="U29" s="339">
        <f t="shared" ref="U29:V29" si="68">SUM(U26:U28)</f>
        <v>751</v>
      </c>
      <c r="V29" s="339">
        <f t="shared" si="68"/>
        <v>2595</v>
      </c>
      <c r="W29" s="339">
        <f t="shared" ref="W29:X29" si="69">SUM(W26:W28)</f>
        <v>804</v>
      </c>
      <c r="X29" s="339">
        <f t="shared" si="69"/>
        <v>608</v>
      </c>
      <c r="Y29" s="339">
        <f t="shared" ref="Y29:Z29" si="70">SUM(Y26:Y28)</f>
        <v>657</v>
      </c>
      <c r="Z29" s="339">
        <f t="shared" si="70"/>
        <v>2272</v>
      </c>
      <c r="AA29" s="339">
        <f t="shared" ref="AA29:AB29" si="71">SUM(AA26:AA28)</f>
        <v>772</v>
      </c>
      <c r="AB29" s="339">
        <f t="shared" si="71"/>
        <v>658</v>
      </c>
      <c r="AC29" s="339">
        <f t="shared" ref="AC29:AD29" si="72">SUM(AC26:AC28)</f>
        <v>1170</v>
      </c>
      <c r="AD29" s="339">
        <f t="shared" si="72"/>
        <v>2213</v>
      </c>
      <c r="AE29" s="339">
        <f t="shared" ref="AE29:AF29" si="73">SUM(AE26:AE28)</f>
        <v>703</v>
      </c>
      <c r="AF29" s="339">
        <f t="shared" si="73"/>
        <v>759</v>
      </c>
      <c r="AG29" s="339">
        <f>SUM(AG26:AG28)</f>
        <v>1040</v>
      </c>
    </row>
    <row r="30" spans="2:33" ht="12.75" customHeight="1">
      <c r="B30" s="325"/>
      <c r="C30" s="325"/>
      <c r="D30" s="325"/>
      <c r="F30" s="346"/>
    </row>
    <row r="31" spans="2:33">
      <c r="B31" s="325"/>
      <c r="C31" s="325"/>
      <c r="D31" s="325"/>
      <c r="E31" s="356"/>
    </row>
    <row r="32" spans="2:33" ht="13.5" customHeight="1">
      <c r="B32" s="325"/>
      <c r="C32" s="615" t="s">
        <v>338</v>
      </c>
      <c r="D32" s="615"/>
      <c r="E32" s="615"/>
      <c r="F32" s="615"/>
      <c r="G32" s="615"/>
      <c r="H32" s="615"/>
      <c r="I32" s="615"/>
      <c r="J32" s="615"/>
      <c r="K32" s="615"/>
      <c r="L32" s="615"/>
      <c r="M32" s="615"/>
      <c r="N32" s="615"/>
      <c r="O32" s="615"/>
      <c r="P32" s="615"/>
      <c r="Q32" s="615"/>
      <c r="R32" s="615"/>
      <c r="S32" s="615"/>
      <c r="T32" s="615"/>
      <c r="U32" s="615"/>
      <c r="V32" s="615"/>
      <c r="W32" s="615"/>
      <c r="X32" s="596"/>
      <c r="Y32" s="597"/>
      <c r="Z32" s="616"/>
      <c r="AA32" s="620"/>
      <c r="AB32" s="648"/>
      <c r="AC32" s="648"/>
      <c r="AD32" s="648"/>
      <c r="AE32" s="648"/>
      <c r="AF32" s="648"/>
      <c r="AG32" s="648"/>
    </row>
    <row r="33" spans="2:11" ht="13.5">
      <c r="B33" s="338"/>
      <c r="C33" s="357" t="s">
        <v>189</v>
      </c>
      <c r="D33" s="325"/>
      <c r="E33" s="356"/>
    </row>
    <row r="34" spans="2:11" ht="13.5">
      <c r="B34" s="338"/>
      <c r="C34" s="357" t="s">
        <v>339</v>
      </c>
      <c r="D34" s="325"/>
      <c r="E34" s="356"/>
    </row>
    <row r="35" spans="2:11">
      <c r="B35" s="338"/>
      <c r="C35" s="325" t="s">
        <v>269</v>
      </c>
      <c r="D35" s="325"/>
      <c r="E35" s="356"/>
    </row>
    <row r="36" spans="2:11">
      <c r="B36" s="338"/>
      <c r="C36" s="325" t="s">
        <v>270</v>
      </c>
      <c r="D36" s="325"/>
      <c r="E36" s="356"/>
    </row>
    <row r="37" spans="2:11" ht="13.5">
      <c r="B37" s="325"/>
      <c r="C37" s="491" t="s">
        <v>348</v>
      </c>
      <c r="D37" s="437"/>
      <c r="E37" s="438"/>
      <c r="F37" s="439"/>
      <c r="G37" s="440"/>
      <c r="H37" s="440"/>
      <c r="I37" s="440"/>
      <c r="J37" s="440"/>
      <c r="K37" s="440"/>
    </row>
    <row r="38" spans="2:11">
      <c r="B38" s="325"/>
      <c r="C38" s="325"/>
      <c r="D38" s="325"/>
      <c r="E38" s="356"/>
    </row>
    <row r="39" spans="2:11">
      <c r="B39" s="325"/>
      <c r="C39" s="325"/>
      <c r="D39" s="325"/>
      <c r="E39" s="356"/>
    </row>
    <row r="40" spans="2:11">
      <c r="B40" s="325"/>
      <c r="C40" s="325"/>
      <c r="D40" s="325"/>
      <c r="E40" s="356"/>
    </row>
    <row r="41" spans="2:11">
      <c r="B41" s="325"/>
      <c r="C41" s="325"/>
      <c r="D41" s="325"/>
      <c r="E41" s="356"/>
    </row>
    <row r="42" spans="2:11">
      <c r="B42" s="325"/>
      <c r="C42" s="325"/>
      <c r="D42" s="325"/>
      <c r="E42" s="356"/>
    </row>
    <row r="43" spans="2:11">
      <c r="B43" s="325"/>
      <c r="C43" s="325"/>
      <c r="D43" s="325"/>
      <c r="E43" s="356"/>
    </row>
    <row r="44" spans="2:11">
      <c r="B44" s="325"/>
      <c r="C44" s="325"/>
      <c r="D44" s="325"/>
      <c r="E44" s="356"/>
    </row>
    <row r="45" spans="2:11" s="347" customFormat="1">
      <c r="B45" s="325"/>
      <c r="C45" s="325"/>
      <c r="D45" s="325"/>
      <c r="E45" s="356"/>
      <c r="G45" s="324"/>
      <c r="H45" s="324"/>
      <c r="I45" s="324"/>
      <c r="J45" s="324"/>
      <c r="K45" s="324"/>
    </row>
    <row r="46" spans="2:11" s="347" customFormat="1">
      <c r="B46" s="325"/>
      <c r="C46" s="325"/>
      <c r="D46" s="325"/>
      <c r="E46" s="356"/>
      <c r="G46" s="324"/>
      <c r="H46" s="324"/>
      <c r="I46" s="324"/>
      <c r="J46" s="324"/>
      <c r="K46" s="324"/>
    </row>
    <row r="47" spans="2:11" s="347" customFormat="1">
      <c r="B47" s="325"/>
      <c r="C47" s="325"/>
      <c r="D47" s="325"/>
      <c r="E47" s="356"/>
      <c r="G47" s="324"/>
      <c r="H47" s="324"/>
      <c r="I47" s="324"/>
      <c r="J47" s="324"/>
      <c r="K47" s="324"/>
    </row>
    <row r="48" spans="2:11" s="347" customFormat="1">
      <c r="B48" s="325"/>
      <c r="C48" s="325"/>
      <c r="D48" s="325"/>
      <c r="E48" s="356"/>
      <c r="G48" s="324"/>
      <c r="H48" s="324"/>
      <c r="I48" s="324"/>
      <c r="J48" s="324"/>
      <c r="K48" s="324"/>
    </row>
    <row r="49" spans="2:11" s="347" customFormat="1">
      <c r="B49" s="325"/>
      <c r="C49" s="325"/>
      <c r="D49" s="325"/>
      <c r="E49" s="356"/>
      <c r="G49" s="324"/>
      <c r="H49" s="324"/>
      <c r="I49" s="324"/>
      <c r="J49" s="324"/>
      <c r="K49" s="324"/>
    </row>
    <row r="50" spans="2:11" s="347" customFormat="1">
      <c r="B50" s="325"/>
      <c r="C50" s="325"/>
      <c r="D50" s="325"/>
      <c r="E50" s="356"/>
      <c r="G50" s="324"/>
      <c r="H50" s="324"/>
      <c r="I50" s="324"/>
      <c r="J50" s="324"/>
      <c r="K50" s="324"/>
    </row>
    <row r="51" spans="2:11" s="347" customFormat="1">
      <c r="B51" s="325"/>
      <c r="C51" s="325"/>
      <c r="D51" s="325"/>
      <c r="E51" s="356"/>
      <c r="G51" s="324"/>
      <c r="H51" s="324"/>
      <c r="I51" s="324"/>
      <c r="J51" s="324"/>
      <c r="K51" s="324"/>
    </row>
    <row r="52" spans="2:11" s="347" customFormat="1">
      <c r="B52" s="325"/>
      <c r="C52" s="325"/>
      <c r="D52" s="325"/>
      <c r="E52" s="356"/>
      <c r="G52" s="324"/>
      <c r="H52" s="324"/>
      <c r="I52" s="324"/>
      <c r="J52" s="324"/>
      <c r="K52" s="324"/>
    </row>
    <row r="53" spans="2:11" s="347" customFormat="1">
      <c r="B53" s="325"/>
      <c r="C53" s="325"/>
      <c r="D53" s="325"/>
      <c r="E53" s="356"/>
      <c r="G53" s="324"/>
      <c r="H53" s="324"/>
      <c r="I53" s="324"/>
      <c r="J53" s="324"/>
      <c r="K53" s="324"/>
    </row>
  </sheetData>
  <mergeCells count="3">
    <mergeCell ref="B1:AH1"/>
    <mergeCell ref="B2:AH2"/>
    <mergeCell ref="B3:AH3"/>
  </mergeCells>
  <pageMargins left="0.7" right="0.7" top="0.25" bottom="0.44" header="0.3" footer="0.3"/>
  <pageSetup scale="40" orientation="landscape" r:id="rId1"/>
  <headerFooter>
    <oddFooter>&amp;LActivision Blizzard, Inc.&amp;R&amp;P of &amp; 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H92"/>
  <sheetViews>
    <sheetView showGridLines="0" view="pageBreakPreview" zoomScaleNormal="100" zoomScaleSheetLayoutView="100" workbookViewId="0">
      <pane xSplit="4" ySplit="7" topLeftCell="E48" activePane="bottomRight" state="frozen"/>
      <selection sqref="A1:AE1"/>
      <selection pane="topRight" sqref="A1:AE1"/>
      <selection pane="bottomLeft" sqref="A1:AE1"/>
      <selection pane="bottomRight" activeCell="AG61" sqref="AG61"/>
    </sheetView>
  </sheetViews>
  <sheetFormatPr defaultColWidth="11.42578125" defaultRowHeight="12"/>
  <cols>
    <col min="1" max="1" width="2.85546875" style="324" customWidth="1"/>
    <col min="2" max="2" width="2" style="324" customWidth="1"/>
    <col min="3" max="3" width="2.85546875" style="324" customWidth="1"/>
    <col min="4" max="4" width="45.7109375" style="324" customWidth="1"/>
    <col min="5" max="5" width="9.7109375" style="346" customWidth="1"/>
    <col min="6" max="9" width="9.7109375" style="324" customWidth="1"/>
    <col min="10" max="12" width="9.7109375" style="415" customWidth="1"/>
    <col min="13" max="33" width="9.7109375" style="324" customWidth="1"/>
    <col min="34" max="34" width="1.7109375" style="324" customWidth="1"/>
    <col min="35" max="16384" width="11.42578125" style="324"/>
  </cols>
  <sheetData>
    <row r="1" spans="2:34" ht="18.75" customHeight="1">
      <c r="B1" s="689" t="s">
        <v>73</v>
      </c>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row>
    <row r="2" spans="2:34">
      <c r="B2" s="689" t="s">
        <v>249</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row>
    <row r="3" spans="2:34" ht="12.75" customHeight="1">
      <c r="B3" s="689" t="s">
        <v>74</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row>
    <row r="4" spans="2:34">
      <c r="E4" s="358"/>
      <c r="F4" s="325"/>
      <c r="G4" s="325"/>
      <c r="AA4" s="415"/>
      <c r="AB4" s="415"/>
      <c r="AC4" s="415"/>
      <c r="AD4" s="415"/>
      <c r="AE4" s="415"/>
      <c r="AF4" s="415"/>
      <c r="AG4" s="415"/>
    </row>
    <row r="5" spans="2:34">
      <c r="E5" s="351"/>
      <c r="F5" s="351"/>
      <c r="G5" s="351"/>
      <c r="AA5" s="415"/>
      <c r="AB5" s="415"/>
      <c r="AC5" s="415"/>
      <c r="AD5" s="415"/>
      <c r="AE5" s="415"/>
      <c r="AF5" s="415"/>
      <c r="AG5" s="415"/>
    </row>
    <row r="6" spans="2:34" s="325" customFormat="1" ht="12.75" customHeight="1">
      <c r="E6" s="19" t="s">
        <v>216</v>
      </c>
      <c r="F6" s="625" t="s">
        <v>6</v>
      </c>
      <c r="G6" s="625" t="s">
        <v>3</v>
      </c>
      <c r="H6" s="625" t="s">
        <v>4</v>
      </c>
      <c r="I6" s="329" t="s">
        <v>5</v>
      </c>
      <c r="J6" s="419" t="s">
        <v>6</v>
      </c>
      <c r="K6" s="419" t="s">
        <v>3</v>
      </c>
      <c r="L6" s="419" t="s">
        <v>4</v>
      </c>
      <c r="M6" s="329" t="s">
        <v>5</v>
      </c>
      <c r="N6" s="329" t="s">
        <v>6</v>
      </c>
      <c r="O6" s="329" t="s">
        <v>3</v>
      </c>
      <c r="P6" s="329" t="s">
        <v>4</v>
      </c>
      <c r="Q6" s="329" t="s">
        <v>5</v>
      </c>
      <c r="R6" s="329" t="s">
        <v>6</v>
      </c>
      <c r="S6" s="329" t="s">
        <v>3</v>
      </c>
      <c r="T6" s="329" t="s">
        <v>4</v>
      </c>
      <c r="U6" s="329" t="s">
        <v>5</v>
      </c>
      <c r="V6" s="329" t="s">
        <v>6</v>
      </c>
      <c r="W6" s="329" t="s">
        <v>3</v>
      </c>
      <c r="X6" s="329" t="s">
        <v>4</v>
      </c>
      <c r="Y6" s="329" t="s">
        <v>5</v>
      </c>
      <c r="Z6" s="329" t="s">
        <v>6</v>
      </c>
      <c r="AA6" s="419" t="s">
        <v>3</v>
      </c>
      <c r="AB6" s="419" t="s">
        <v>4</v>
      </c>
      <c r="AC6" s="419" t="s">
        <v>5</v>
      </c>
      <c r="AD6" s="419" t="s">
        <v>6</v>
      </c>
      <c r="AE6" s="419" t="s">
        <v>3</v>
      </c>
      <c r="AF6" s="419" t="s">
        <v>4</v>
      </c>
      <c r="AG6" s="419" t="s">
        <v>5</v>
      </c>
    </row>
    <row r="7" spans="2:34" s="325" customFormat="1" ht="12.75" customHeight="1" thickBot="1">
      <c r="E7" s="330" t="s">
        <v>43</v>
      </c>
      <c r="F7" s="331" t="s">
        <v>43</v>
      </c>
      <c r="G7" s="331" t="s">
        <v>44</v>
      </c>
      <c r="H7" s="331" t="s">
        <v>44</v>
      </c>
      <c r="I7" s="329" t="s">
        <v>44</v>
      </c>
      <c r="J7" s="419" t="s">
        <v>44</v>
      </c>
      <c r="K7" s="419" t="s">
        <v>45</v>
      </c>
      <c r="L7" s="419" t="s">
        <v>45</v>
      </c>
      <c r="M7" s="329" t="s">
        <v>45</v>
      </c>
      <c r="N7" s="329" t="s">
        <v>45</v>
      </c>
      <c r="O7" s="329" t="s">
        <v>46</v>
      </c>
      <c r="P7" s="329" t="s">
        <v>46</v>
      </c>
      <c r="Q7" s="329" t="s">
        <v>46</v>
      </c>
      <c r="R7" s="329" t="s">
        <v>46</v>
      </c>
      <c r="S7" s="329" t="s">
        <v>237</v>
      </c>
      <c r="T7" s="329" t="s">
        <v>237</v>
      </c>
      <c r="U7" s="329" t="s">
        <v>237</v>
      </c>
      <c r="V7" s="329" t="s">
        <v>237</v>
      </c>
      <c r="W7" s="329" t="s">
        <v>264</v>
      </c>
      <c r="X7" s="329" t="s">
        <v>264</v>
      </c>
      <c r="Y7" s="329" t="s">
        <v>264</v>
      </c>
      <c r="Z7" s="329" t="s">
        <v>264</v>
      </c>
      <c r="AA7" s="419" t="s">
        <v>307</v>
      </c>
      <c r="AB7" s="419" t="s">
        <v>307</v>
      </c>
      <c r="AC7" s="419" t="s">
        <v>307</v>
      </c>
      <c r="AD7" s="419" t="s">
        <v>307</v>
      </c>
      <c r="AE7" s="419" t="s">
        <v>332</v>
      </c>
      <c r="AF7" s="419" t="s">
        <v>332</v>
      </c>
      <c r="AG7" s="419" t="s">
        <v>332</v>
      </c>
    </row>
    <row r="8" spans="2:34" s="350" customFormat="1">
      <c r="B8" s="338" t="s">
        <v>95</v>
      </c>
      <c r="E8" s="332"/>
      <c r="F8" s="332"/>
      <c r="G8" s="359"/>
      <c r="H8" s="332"/>
      <c r="I8" s="332"/>
      <c r="J8" s="458"/>
      <c r="K8" s="421"/>
      <c r="L8" s="421"/>
      <c r="M8" s="359"/>
      <c r="N8" s="332"/>
      <c r="O8" s="332"/>
      <c r="P8" s="359"/>
      <c r="Q8" s="359"/>
      <c r="R8" s="359"/>
      <c r="S8" s="359" t="s">
        <v>324</v>
      </c>
      <c r="T8" s="359"/>
      <c r="U8" s="359"/>
      <c r="V8" s="359"/>
      <c r="W8" s="359"/>
      <c r="X8" s="359"/>
      <c r="Y8" s="359"/>
      <c r="Z8" s="359"/>
      <c r="AA8" s="458"/>
      <c r="AB8" s="458"/>
      <c r="AC8" s="458"/>
      <c r="AD8" s="458"/>
      <c r="AE8" s="458"/>
      <c r="AF8" s="458"/>
      <c r="AG8" s="458"/>
    </row>
    <row r="9" spans="2:34" ht="12" customHeight="1">
      <c r="B9" s="325" t="s">
        <v>96</v>
      </c>
      <c r="C9" s="325"/>
      <c r="D9" s="325"/>
      <c r="E9" s="591"/>
      <c r="F9" s="591"/>
      <c r="G9" s="591"/>
      <c r="H9" s="591"/>
      <c r="I9" s="591"/>
      <c r="J9" s="591"/>
      <c r="K9" s="591"/>
      <c r="L9" s="591"/>
      <c r="M9" s="591"/>
      <c r="N9" s="591"/>
      <c r="O9" s="591"/>
      <c r="P9" s="591"/>
      <c r="Q9" s="591"/>
      <c r="R9" s="591"/>
      <c r="S9" s="591"/>
      <c r="T9" s="591"/>
      <c r="U9" s="591"/>
      <c r="V9" s="591"/>
      <c r="W9" s="591"/>
      <c r="X9" s="591"/>
      <c r="Y9" s="591"/>
      <c r="Z9" s="591"/>
      <c r="AA9" s="669"/>
      <c r="AB9" s="669"/>
      <c r="AC9" s="669"/>
      <c r="AD9" s="669"/>
      <c r="AE9" s="669"/>
      <c r="AF9" s="669"/>
      <c r="AG9" s="669"/>
    </row>
    <row r="10" spans="2:34" ht="12" customHeight="1">
      <c r="B10" s="325"/>
      <c r="C10" s="325" t="s">
        <v>312</v>
      </c>
      <c r="D10" s="325"/>
      <c r="E10" s="360">
        <v>274</v>
      </c>
      <c r="F10" s="360">
        <v>326</v>
      </c>
      <c r="G10" s="361">
        <v>319</v>
      </c>
      <c r="H10" s="360">
        <v>327</v>
      </c>
      <c r="I10" s="360">
        <v>306</v>
      </c>
      <c r="J10" s="459">
        <v>308</v>
      </c>
      <c r="K10" s="460">
        <v>310</v>
      </c>
      <c r="L10" s="460">
        <v>291</v>
      </c>
      <c r="M10" s="361">
        <v>289</v>
      </c>
      <c r="N10" s="360">
        <v>340</v>
      </c>
      <c r="O10" s="360">
        <v>395</v>
      </c>
      <c r="P10" s="360">
        <v>359</v>
      </c>
      <c r="Q10" s="360">
        <v>336</v>
      </c>
      <c r="R10" s="360">
        <v>268</v>
      </c>
      <c r="S10" s="360">
        <v>256</v>
      </c>
      <c r="T10" s="360">
        <v>220</v>
      </c>
      <c r="U10" s="360">
        <v>226</v>
      </c>
      <c r="V10" s="360">
        <v>285</v>
      </c>
      <c r="W10" s="360">
        <v>275</v>
      </c>
      <c r="X10" s="360">
        <v>233</v>
      </c>
      <c r="Y10" s="360">
        <v>205</v>
      </c>
      <c r="Z10" s="360">
        <v>198</v>
      </c>
      <c r="AA10" s="460">
        <v>201</v>
      </c>
      <c r="AB10" s="460">
        <v>195</v>
      </c>
      <c r="AC10" s="460">
        <v>205</v>
      </c>
      <c r="AD10" s="460">
        <v>266</v>
      </c>
      <c r="AE10" s="460">
        <v>272</v>
      </c>
      <c r="AF10" s="460">
        <v>221</v>
      </c>
      <c r="AG10" s="460">
        <v>195</v>
      </c>
    </row>
    <row r="11" spans="2:34" ht="12" customHeight="1">
      <c r="B11" s="325"/>
      <c r="C11" s="325" t="s">
        <v>267</v>
      </c>
      <c r="D11" s="325"/>
      <c r="E11" s="333">
        <v>21</v>
      </c>
      <c r="F11" s="424">
        <v>41</v>
      </c>
      <c r="G11" s="333">
        <v>37</v>
      </c>
      <c r="H11" s="333">
        <v>36</v>
      </c>
      <c r="I11" s="424">
        <v>24</v>
      </c>
      <c r="J11" s="424">
        <v>41</v>
      </c>
      <c r="K11" s="333">
        <v>43</v>
      </c>
      <c r="L11" s="333">
        <v>75</v>
      </c>
      <c r="M11" s="424">
        <v>70</v>
      </c>
      <c r="N11" s="424">
        <v>113</v>
      </c>
      <c r="O11" s="424">
        <v>118</v>
      </c>
      <c r="P11" s="333">
        <v>76</v>
      </c>
      <c r="Q11" s="333">
        <v>40</v>
      </c>
      <c r="R11" s="333">
        <v>47</v>
      </c>
      <c r="S11" s="333">
        <v>47</v>
      </c>
      <c r="T11" s="333">
        <v>151</v>
      </c>
      <c r="U11" s="333">
        <v>272</v>
      </c>
      <c r="V11" s="333">
        <v>205</v>
      </c>
      <c r="W11" s="333">
        <v>93</v>
      </c>
      <c r="X11" s="333">
        <v>100</v>
      </c>
      <c r="Y11" s="333">
        <v>79</v>
      </c>
      <c r="Z11" s="333">
        <v>66</v>
      </c>
      <c r="AA11" s="424">
        <v>100</v>
      </c>
      <c r="AB11" s="424">
        <v>182</v>
      </c>
      <c r="AC11" s="424">
        <v>165</v>
      </c>
      <c r="AD11" s="424">
        <v>104</v>
      </c>
      <c r="AE11" s="424">
        <v>114</v>
      </c>
      <c r="AF11" s="424">
        <v>149</v>
      </c>
      <c r="AG11" s="424">
        <v>164</v>
      </c>
    </row>
    <row r="12" spans="2:34" ht="12" customHeight="1">
      <c r="B12" s="325"/>
      <c r="C12" s="325"/>
      <c r="D12" s="325"/>
      <c r="E12" s="333"/>
      <c r="F12" s="424"/>
      <c r="G12" s="333"/>
      <c r="H12" s="333"/>
      <c r="I12" s="424"/>
      <c r="J12" s="424"/>
      <c r="K12" s="333"/>
      <c r="L12" s="333"/>
      <c r="M12" s="424"/>
      <c r="N12" s="424"/>
      <c r="O12" s="424"/>
      <c r="P12" s="333"/>
      <c r="Q12" s="333"/>
      <c r="R12" s="333"/>
      <c r="S12" s="333"/>
      <c r="T12" s="333"/>
      <c r="U12" s="333"/>
      <c r="V12" s="333"/>
      <c r="W12" s="333"/>
      <c r="X12" s="333"/>
      <c r="Y12" s="333"/>
      <c r="Z12" s="333"/>
      <c r="AA12" s="424"/>
      <c r="AB12" s="424"/>
      <c r="AC12" s="424"/>
      <c r="AD12" s="424"/>
      <c r="AE12" s="424"/>
      <c r="AF12" s="424"/>
      <c r="AG12" s="424"/>
    </row>
    <row r="13" spans="2:34" ht="12" customHeight="1">
      <c r="B13" s="325"/>
      <c r="C13" s="325"/>
      <c r="D13" s="325" t="s">
        <v>331</v>
      </c>
      <c r="E13" s="333">
        <v>0</v>
      </c>
      <c r="F13" s="333">
        <v>0</v>
      </c>
      <c r="G13" s="333">
        <v>0</v>
      </c>
      <c r="H13" s="333">
        <v>0</v>
      </c>
      <c r="I13" s="333">
        <v>0</v>
      </c>
      <c r="J13" s="333">
        <v>0</v>
      </c>
      <c r="K13" s="333">
        <v>0</v>
      </c>
      <c r="L13" s="333">
        <v>0</v>
      </c>
      <c r="M13" s="333">
        <v>0</v>
      </c>
      <c r="N13" s="333">
        <v>0</v>
      </c>
      <c r="O13" s="333">
        <v>0</v>
      </c>
      <c r="P13" s="333">
        <v>0</v>
      </c>
      <c r="Q13" s="333">
        <v>0</v>
      </c>
      <c r="R13" s="333">
        <v>0</v>
      </c>
      <c r="S13" s="333">
        <v>0</v>
      </c>
      <c r="T13" s="333">
        <v>0</v>
      </c>
      <c r="U13" s="333">
        <v>0</v>
      </c>
      <c r="V13" s="333">
        <v>16</v>
      </c>
      <c r="W13" s="333">
        <v>7</v>
      </c>
      <c r="X13" s="333">
        <v>4</v>
      </c>
      <c r="Y13" s="333">
        <v>3</v>
      </c>
      <c r="Z13" s="333">
        <v>79</v>
      </c>
      <c r="AA13" s="424">
        <v>108</v>
      </c>
      <c r="AB13" s="424">
        <v>137</v>
      </c>
      <c r="AC13" s="424">
        <v>109</v>
      </c>
      <c r="AD13" s="424">
        <v>367</v>
      </c>
      <c r="AE13" s="424">
        <v>434</v>
      </c>
      <c r="AF13" s="424">
        <v>317</v>
      </c>
      <c r="AG13" s="424">
        <v>245</v>
      </c>
    </row>
    <row r="14" spans="2:34" ht="12" customHeight="1">
      <c r="B14" s="325"/>
      <c r="C14" s="325"/>
      <c r="D14" s="325" t="s">
        <v>330</v>
      </c>
      <c r="E14" s="333">
        <v>272</v>
      </c>
      <c r="F14" s="333">
        <v>958</v>
      </c>
      <c r="G14" s="333">
        <v>503</v>
      </c>
      <c r="H14" s="333">
        <v>545</v>
      </c>
      <c r="I14" s="333">
        <v>286</v>
      </c>
      <c r="J14" s="333">
        <v>865</v>
      </c>
      <c r="K14" s="333">
        <v>839</v>
      </c>
      <c r="L14" s="333">
        <v>507</v>
      </c>
      <c r="M14" s="333">
        <v>298</v>
      </c>
      <c r="N14" s="333">
        <v>687</v>
      </c>
      <c r="O14" s="333">
        <v>824</v>
      </c>
      <c r="P14" s="333">
        <v>611</v>
      </c>
      <c r="Q14" s="333">
        <v>277</v>
      </c>
      <c r="R14" s="333">
        <v>728</v>
      </c>
      <c r="S14" s="333">
        <v>688</v>
      </c>
      <c r="T14" s="333">
        <v>514</v>
      </c>
      <c r="U14" s="333">
        <v>227</v>
      </c>
      <c r="V14" s="333">
        <v>740</v>
      </c>
      <c r="W14" s="333">
        <v>742</v>
      </c>
      <c r="X14" s="333">
        <v>586</v>
      </c>
      <c r="Y14" s="333">
        <v>293</v>
      </c>
      <c r="Z14" s="333">
        <v>666</v>
      </c>
      <c r="AA14" s="424">
        <v>546</v>
      </c>
      <c r="AB14" s="424">
        <v>342</v>
      </c>
      <c r="AC14" s="424">
        <v>161</v>
      </c>
      <c r="AD14" s="424">
        <v>380</v>
      </c>
      <c r="AE14" s="424">
        <v>324</v>
      </c>
      <c r="AF14" s="424">
        <v>242</v>
      </c>
      <c r="AG14" s="424">
        <v>175</v>
      </c>
    </row>
    <row r="15" spans="2:34" ht="6.75" customHeight="1">
      <c r="B15" s="325"/>
      <c r="C15" s="325"/>
      <c r="D15" s="325"/>
      <c r="E15" s="333"/>
      <c r="F15" s="333"/>
      <c r="G15" s="342"/>
      <c r="H15" s="333"/>
      <c r="I15" s="333"/>
      <c r="J15" s="429"/>
      <c r="K15" s="424"/>
      <c r="L15" s="424"/>
      <c r="M15" s="342"/>
      <c r="N15" s="333"/>
      <c r="O15" s="333"/>
      <c r="P15" s="333"/>
      <c r="Q15" s="333"/>
      <c r="R15" s="333"/>
      <c r="S15" s="333"/>
      <c r="T15" s="333"/>
      <c r="U15" s="333"/>
      <c r="V15" s="333"/>
      <c r="W15" s="333"/>
      <c r="X15" s="333"/>
      <c r="Y15" s="333"/>
      <c r="Z15" s="333"/>
      <c r="AA15" s="424"/>
      <c r="AB15" s="424"/>
      <c r="AC15" s="424"/>
      <c r="AD15" s="424"/>
      <c r="AE15" s="424"/>
      <c r="AF15" s="424"/>
      <c r="AG15" s="424"/>
    </row>
    <row r="16" spans="2:34">
      <c r="B16" s="325"/>
      <c r="C16" s="325" t="s">
        <v>210</v>
      </c>
      <c r="D16" s="325"/>
      <c r="E16" s="354">
        <f t="shared" ref="E16:AF16" si="0">E13+E14</f>
        <v>272</v>
      </c>
      <c r="F16" s="354">
        <f t="shared" si="0"/>
        <v>958</v>
      </c>
      <c r="G16" s="354">
        <f t="shared" si="0"/>
        <v>503</v>
      </c>
      <c r="H16" s="354">
        <f t="shared" si="0"/>
        <v>545</v>
      </c>
      <c r="I16" s="354">
        <f t="shared" si="0"/>
        <v>286</v>
      </c>
      <c r="J16" s="354">
        <f t="shared" si="0"/>
        <v>865</v>
      </c>
      <c r="K16" s="354">
        <f t="shared" si="0"/>
        <v>839</v>
      </c>
      <c r="L16" s="354">
        <f t="shared" si="0"/>
        <v>507</v>
      </c>
      <c r="M16" s="354">
        <f t="shared" si="0"/>
        <v>298</v>
      </c>
      <c r="N16" s="354">
        <f t="shared" si="0"/>
        <v>687</v>
      </c>
      <c r="O16" s="354">
        <f t="shared" si="0"/>
        <v>824</v>
      </c>
      <c r="P16" s="354">
        <f t="shared" si="0"/>
        <v>611</v>
      </c>
      <c r="Q16" s="354">
        <f t="shared" si="0"/>
        <v>277</v>
      </c>
      <c r="R16" s="354">
        <f t="shared" si="0"/>
        <v>728</v>
      </c>
      <c r="S16" s="354">
        <f t="shared" si="0"/>
        <v>688</v>
      </c>
      <c r="T16" s="354">
        <f t="shared" si="0"/>
        <v>514</v>
      </c>
      <c r="U16" s="354">
        <f t="shared" si="0"/>
        <v>227</v>
      </c>
      <c r="V16" s="354">
        <f t="shared" si="0"/>
        <v>756</v>
      </c>
      <c r="W16" s="354">
        <f t="shared" si="0"/>
        <v>749</v>
      </c>
      <c r="X16" s="354">
        <f t="shared" si="0"/>
        <v>590</v>
      </c>
      <c r="Y16" s="354">
        <f t="shared" si="0"/>
        <v>296</v>
      </c>
      <c r="Z16" s="354">
        <f t="shared" si="0"/>
        <v>745</v>
      </c>
      <c r="AA16" s="627">
        <f t="shared" si="0"/>
        <v>654</v>
      </c>
      <c r="AB16" s="627">
        <f t="shared" si="0"/>
        <v>479</v>
      </c>
      <c r="AC16" s="627">
        <f t="shared" si="0"/>
        <v>270</v>
      </c>
      <c r="AD16" s="627">
        <f t="shared" si="0"/>
        <v>747</v>
      </c>
      <c r="AE16" s="627">
        <f t="shared" si="0"/>
        <v>758</v>
      </c>
      <c r="AF16" s="627">
        <f t="shared" si="0"/>
        <v>559</v>
      </c>
      <c r="AG16" s="627">
        <f>AG13+AG14</f>
        <v>420</v>
      </c>
    </row>
    <row r="17" spans="1:33">
      <c r="B17" s="325"/>
      <c r="C17" s="325"/>
      <c r="D17" s="325"/>
      <c r="E17" s="333"/>
      <c r="F17" s="333"/>
      <c r="G17" s="333"/>
      <c r="H17" s="333"/>
      <c r="I17" s="333"/>
      <c r="J17" s="333"/>
      <c r="K17" s="333"/>
      <c r="L17" s="333"/>
      <c r="M17" s="333"/>
      <c r="N17" s="333"/>
      <c r="O17" s="333"/>
      <c r="P17" s="333"/>
      <c r="Q17" s="333"/>
      <c r="R17" s="333"/>
      <c r="S17" s="333"/>
      <c r="T17" s="333"/>
      <c r="U17" s="333"/>
      <c r="V17" s="333"/>
      <c r="W17" s="333"/>
      <c r="X17" s="333"/>
      <c r="Y17" s="333"/>
      <c r="Z17" s="333"/>
      <c r="AA17" s="424"/>
      <c r="AB17" s="424"/>
      <c r="AC17" s="424"/>
      <c r="AD17" s="424"/>
      <c r="AE17" s="424"/>
      <c r="AF17" s="424"/>
      <c r="AG17" s="424"/>
    </row>
    <row r="18" spans="1:33" s="325" customFormat="1" ht="13.5">
      <c r="C18" s="325" t="s">
        <v>315</v>
      </c>
      <c r="E18" s="333">
        <v>82</v>
      </c>
      <c r="F18" s="424">
        <v>142</v>
      </c>
      <c r="G18" s="333">
        <v>36</v>
      </c>
      <c r="H18" s="424">
        <v>67</v>
      </c>
      <c r="I18" s="424">
        <v>33</v>
      </c>
      <c r="J18" s="424">
        <v>122</v>
      </c>
      <c r="K18" s="333">
        <v>45</v>
      </c>
      <c r="L18" s="333">
        <v>43</v>
      </c>
      <c r="M18" s="424">
        <v>26</v>
      </c>
      <c r="N18" s="424">
        <v>94</v>
      </c>
      <c r="O18" s="424">
        <v>37</v>
      </c>
      <c r="P18" s="333">
        <v>37</v>
      </c>
      <c r="Q18" s="333">
        <v>24</v>
      </c>
      <c r="R18" s="333">
        <v>161</v>
      </c>
      <c r="S18" s="333">
        <v>116</v>
      </c>
      <c r="T18" s="333">
        <v>143</v>
      </c>
      <c r="U18" s="333">
        <v>62</v>
      </c>
      <c r="V18" s="333">
        <v>382</v>
      </c>
      <c r="W18" s="333">
        <v>156</v>
      </c>
      <c r="X18" s="333">
        <v>90</v>
      </c>
      <c r="Y18" s="333">
        <v>55</v>
      </c>
      <c r="Z18" s="333">
        <v>329</v>
      </c>
      <c r="AA18" s="424">
        <v>83</v>
      </c>
      <c r="AB18" s="424">
        <v>48</v>
      </c>
      <c r="AC18" s="424">
        <v>35</v>
      </c>
      <c r="AD18" s="424">
        <v>268</v>
      </c>
      <c r="AE18" s="424">
        <v>86</v>
      </c>
      <c r="AF18" s="424">
        <v>54</v>
      </c>
      <c r="AG18" s="424">
        <v>131</v>
      </c>
    </row>
    <row r="19" spans="1:33" s="325" customFormat="1">
      <c r="C19" s="325" t="s">
        <v>97</v>
      </c>
      <c r="E19" s="354">
        <f t="shared" ref="E19:AF19" si="1">E10+E11+E16+E18</f>
        <v>649</v>
      </c>
      <c r="F19" s="354">
        <f t="shared" si="1"/>
        <v>1467</v>
      </c>
      <c r="G19" s="354">
        <f t="shared" si="1"/>
        <v>895</v>
      </c>
      <c r="H19" s="354">
        <f t="shared" si="1"/>
        <v>975</v>
      </c>
      <c r="I19" s="354">
        <f t="shared" si="1"/>
        <v>649</v>
      </c>
      <c r="J19" s="627">
        <f t="shared" si="1"/>
        <v>1336</v>
      </c>
      <c r="K19" s="627">
        <f t="shared" si="1"/>
        <v>1237</v>
      </c>
      <c r="L19" s="627">
        <f t="shared" si="1"/>
        <v>916</v>
      </c>
      <c r="M19" s="354">
        <f t="shared" si="1"/>
        <v>683</v>
      </c>
      <c r="N19" s="354">
        <f t="shared" si="1"/>
        <v>1234</v>
      </c>
      <c r="O19" s="354">
        <f t="shared" si="1"/>
        <v>1374</v>
      </c>
      <c r="P19" s="354">
        <f t="shared" si="1"/>
        <v>1083</v>
      </c>
      <c r="Q19" s="354">
        <f t="shared" si="1"/>
        <v>677</v>
      </c>
      <c r="R19" s="354">
        <f t="shared" si="1"/>
        <v>1204</v>
      </c>
      <c r="S19" s="354">
        <f t="shared" si="1"/>
        <v>1107</v>
      </c>
      <c r="T19" s="354">
        <f t="shared" si="1"/>
        <v>1028</v>
      </c>
      <c r="U19" s="354">
        <f t="shared" si="1"/>
        <v>787</v>
      </c>
      <c r="V19" s="354">
        <f t="shared" si="1"/>
        <v>1628</v>
      </c>
      <c r="W19" s="354">
        <f t="shared" si="1"/>
        <v>1273</v>
      </c>
      <c r="X19" s="354">
        <f t="shared" si="1"/>
        <v>1013</v>
      </c>
      <c r="Y19" s="354">
        <f t="shared" si="1"/>
        <v>635</v>
      </c>
      <c r="Z19" s="354">
        <f t="shared" si="1"/>
        <v>1338</v>
      </c>
      <c r="AA19" s="627">
        <f t="shared" si="1"/>
        <v>1038</v>
      </c>
      <c r="AB19" s="627">
        <f t="shared" si="1"/>
        <v>904</v>
      </c>
      <c r="AC19" s="627">
        <f t="shared" si="1"/>
        <v>675</v>
      </c>
      <c r="AD19" s="627">
        <f t="shared" si="1"/>
        <v>1385</v>
      </c>
      <c r="AE19" s="627">
        <f t="shared" si="1"/>
        <v>1230</v>
      </c>
      <c r="AF19" s="627">
        <f t="shared" si="1"/>
        <v>983</v>
      </c>
      <c r="AG19" s="627">
        <f>AG10+AG11+AG16+AG18</f>
        <v>910</v>
      </c>
    </row>
    <row r="20" spans="1:33" s="325" customFormat="1">
      <c r="E20" s="333"/>
      <c r="F20" s="333"/>
      <c r="G20" s="337"/>
      <c r="H20" s="333"/>
      <c r="I20" s="333"/>
      <c r="J20" s="628"/>
      <c r="K20" s="424"/>
      <c r="L20" s="424"/>
      <c r="M20" s="337"/>
      <c r="N20" s="333"/>
      <c r="O20" s="333"/>
      <c r="P20" s="333"/>
      <c r="Q20" s="333"/>
      <c r="R20" s="333"/>
      <c r="S20" s="333"/>
      <c r="T20" s="333"/>
      <c r="U20" s="333"/>
      <c r="V20" s="333"/>
      <c r="W20" s="333"/>
      <c r="X20" s="333"/>
      <c r="Y20" s="333"/>
      <c r="Z20" s="333"/>
      <c r="AA20" s="424"/>
      <c r="AB20" s="424"/>
      <c r="AC20" s="424"/>
      <c r="AD20" s="424"/>
      <c r="AE20" s="424"/>
      <c r="AF20" s="424"/>
      <c r="AG20" s="424"/>
    </row>
    <row r="21" spans="1:33" s="325" customFormat="1" ht="12.75" customHeight="1">
      <c r="B21" s="325" t="s">
        <v>98</v>
      </c>
      <c r="E21" s="342"/>
      <c r="F21" s="342"/>
      <c r="G21" s="337"/>
      <c r="H21" s="342"/>
      <c r="I21" s="342"/>
      <c r="J21" s="628"/>
      <c r="K21" s="429"/>
      <c r="L21" s="429"/>
      <c r="M21" s="337"/>
      <c r="N21" s="342"/>
      <c r="O21" s="342"/>
      <c r="P21" s="342"/>
      <c r="Q21" s="342"/>
      <c r="R21" s="342"/>
      <c r="S21" s="342"/>
      <c r="T21" s="342"/>
      <c r="U21" s="342"/>
      <c r="V21" s="342"/>
      <c r="W21" s="342"/>
      <c r="X21" s="342"/>
      <c r="Y21" s="342"/>
      <c r="Z21" s="342"/>
      <c r="AA21" s="429"/>
      <c r="AB21" s="429"/>
      <c r="AC21" s="429"/>
      <c r="AD21" s="429"/>
      <c r="AE21" s="429"/>
      <c r="AF21" s="429"/>
      <c r="AG21" s="429"/>
    </row>
    <row r="22" spans="1:33" s="325" customFormat="1">
      <c r="C22" s="325" t="s">
        <v>99</v>
      </c>
      <c r="E22" s="335">
        <v>56</v>
      </c>
      <c r="F22" s="335">
        <v>171</v>
      </c>
      <c r="G22" s="387">
        <v>85</v>
      </c>
      <c r="H22" s="335">
        <v>63</v>
      </c>
      <c r="I22" s="335">
        <v>54</v>
      </c>
      <c r="J22" s="626">
        <v>221</v>
      </c>
      <c r="K22" s="425">
        <v>71</v>
      </c>
      <c r="L22" s="425">
        <v>51</v>
      </c>
      <c r="M22" s="387">
        <v>62</v>
      </c>
      <c r="N22" s="335">
        <v>193</v>
      </c>
      <c r="O22" s="335">
        <v>75</v>
      </c>
      <c r="P22" s="335">
        <v>63</v>
      </c>
      <c r="Q22" s="335">
        <v>77</v>
      </c>
      <c r="R22" s="335">
        <v>203</v>
      </c>
      <c r="S22" s="335">
        <v>65</v>
      </c>
      <c r="T22" s="335">
        <v>47</v>
      </c>
      <c r="U22" s="335">
        <v>54</v>
      </c>
      <c r="V22" s="335">
        <v>140</v>
      </c>
      <c r="W22" s="335">
        <v>51</v>
      </c>
      <c r="X22" s="335">
        <v>37</v>
      </c>
      <c r="Y22" s="335">
        <v>56</v>
      </c>
      <c r="Z22" s="335">
        <v>180</v>
      </c>
      <c r="AA22" s="425">
        <v>73</v>
      </c>
      <c r="AB22" s="425">
        <v>66</v>
      </c>
      <c r="AC22" s="425">
        <v>78</v>
      </c>
      <c r="AD22" s="425">
        <v>190</v>
      </c>
      <c r="AE22" s="425">
        <v>48</v>
      </c>
      <c r="AF22" s="425">
        <v>61</v>
      </c>
      <c r="AG22" s="425">
        <v>80</v>
      </c>
    </row>
    <row r="23" spans="1:33" s="325" customFormat="1">
      <c r="C23" s="325" t="s">
        <v>94</v>
      </c>
      <c r="E23" s="354">
        <f>SUM(E19:E22)</f>
        <v>705</v>
      </c>
      <c r="F23" s="354">
        <f t="shared" ref="F23:N23" si="2">SUM(F19:F22)</f>
        <v>1638</v>
      </c>
      <c r="G23" s="354">
        <f t="shared" si="2"/>
        <v>980</v>
      </c>
      <c r="H23" s="354">
        <f t="shared" si="2"/>
        <v>1038</v>
      </c>
      <c r="I23" s="354">
        <f t="shared" si="2"/>
        <v>703</v>
      </c>
      <c r="J23" s="627">
        <f t="shared" si="2"/>
        <v>1557</v>
      </c>
      <c r="K23" s="627">
        <f t="shared" si="2"/>
        <v>1308</v>
      </c>
      <c r="L23" s="627">
        <f t="shared" si="2"/>
        <v>967</v>
      </c>
      <c r="M23" s="354">
        <f t="shared" si="2"/>
        <v>745</v>
      </c>
      <c r="N23" s="354">
        <f t="shared" si="2"/>
        <v>1427</v>
      </c>
      <c r="O23" s="354">
        <f t="shared" ref="O23:AA23" si="3">SUM(O19:O22)</f>
        <v>1449</v>
      </c>
      <c r="P23" s="354">
        <f t="shared" si="3"/>
        <v>1146</v>
      </c>
      <c r="Q23" s="354">
        <f t="shared" si="3"/>
        <v>754</v>
      </c>
      <c r="R23" s="354">
        <f t="shared" si="3"/>
        <v>1407</v>
      </c>
      <c r="S23" s="354">
        <f t="shared" si="3"/>
        <v>1172</v>
      </c>
      <c r="T23" s="354">
        <f t="shared" si="3"/>
        <v>1075</v>
      </c>
      <c r="U23" s="354">
        <f t="shared" si="3"/>
        <v>841</v>
      </c>
      <c r="V23" s="354">
        <f t="shared" si="3"/>
        <v>1768</v>
      </c>
      <c r="W23" s="354">
        <f t="shared" si="3"/>
        <v>1324</v>
      </c>
      <c r="X23" s="354">
        <f t="shared" si="3"/>
        <v>1050</v>
      </c>
      <c r="Y23" s="354">
        <f t="shared" si="3"/>
        <v>691</v>
      </c>
      <c r="Z23" s="354">
        <f t="shared" si="3"/>
        <v>1518</v>
      </c>
      <c r="AA23" s="627">
        <f t="shared" si="3"/>
        <v>1111</v>
      </c>
      <c r="AB23" s="627">
        <f t="shared" ref="AB23:AC23" si="4">SUM(AB19:AB22)</f>
        <v>970</v>
      </c>
      <c r="AC23" s="627">
        <f t="shared" si="4"/>
        <v>753</v>
      </c>
      <c r="AD23" s="627">
        <f t="shared" ref="AD23:AE23" si="5">SUM(AD19:AD22)</f>
        <v>1575</v>
      </c>
      <c r="AE23" s="627">
        <f t="shared" si="5"/>
        <v>1278</v>
      </c>
      <c r="AF23" s="627">
        <f t="shared" ref="AF23" si="6">SUM(AF19:AF22)</f>
        <v>1044</v>
      </c>
      <c r="AG23" s="627">
        <f>SUM(AG19:AG22)</f>
        <v>990</v>
      </c>
    </row>
    <row r="24" spans="1:33" s="325" customFormat="1">
      <c r="A24" s="416"/>
      <c r="B24" s="416"/>
      <c r="C24" s="416"/>
      <c r="D24" s="416"/>
      <c r="E24" s="333"/>
      <c r="F24" s="333"/>
      <c r="G24" s="333"/>
      <c r="H24" s="333"/>
      <c r="I24" s="333"/>
      <c r="J24" s="424"/>
      <c r="K24" s="424"/>
      <c r="L24" s="424"/>
      <c r="M24" s="333"/>
      <c r="N24" s="333"/>
      <c r="O24" s="333"/>
      <c r="P24" s="333"/>
      <c r="Q24" s="333"/>
      <c r="R24" s="333"/>
      <c r="S24" s="333"/>
      <c r="T24" s="333"/>
      <c r="U24" s="333"/>
      <c r="V24" s="333"/>
      <c r="W24" s="333"/>
      <c r="X24" s="333"/>
      <c r="Y24" s="333"/>
      <c r="Z24" s="333"/>
      <c r="AA24" s="424"/>
      <c r="AB24" s="424"/>
      <c r="AC24" s="424"/>
      <c r="AD24" s="424"/>
      <c r="AE24" s="424"/>
      <c r="AF24" s="424"/>
      <c r="AG24" s="424"/>
    </row>
    <row r="25" spans="1:33" s="325" customFormat="1" ht="13.5">
      <c r="A25" s="416"/>
      <c r="B25" s="416"/>
      <c r="C25" s="416" t="s">
        <v>268</v>
      </c>
      <c r="D25" s="416"/>
      <c r="E25" s="333">
        <v>6</v>
      </c>
      <c r="F25" s="333">
        <v>1</v>
      </c>
      <c r="G25" s="333">
        <v>1</v>
      </c>
      <c r="H25" s="333">
        <v>0</v>
      </c>
      <c r="I25" s="333">
        <v>0</v>
      </c>
      <c r="J25" s="424">
        <v>0</v>
      </c>
      <c r="K25" s="424">
        <v>0</v>
      </c>
      <c r="L25" s="424">
        <v>0</v>
      </c>
      <c r="M25" s="333">
        <v>0</v>
      </c>
      <c r="N25" s="333">
        <v>0</v>
      </c>
      <c r="O25" s="333">
        <v>0</v>
      </c>
      <c r="P25" s="333">
        <v>0</v>
      </c>
      <c r="Q25" s="333">
        <v>0</v>
      </c>
      <c r="R25" s="333">
        <v>0</v>
      </c>
      <c r="S25" s="333">
        <v>0</v>
      </c>
      <c r="T25" s="333">
        <v>0</v>
      </c>
      <c r="U25" s="333">
        <v>0</v>
      </c>
      <c r="V25" s="333">
        <v>0</v>
      </c>
      <c r="W25" s="333">
        <v>0</v>
      </c>
      <c r="X25" s="333">
        <v>0</v>
      </c>
      <c r="Y25" s="333">
        <v>0</v>
      </c>
      <c r="Z25" s="333">
        <v>0</v>
      </c>
      <c r="AA25" s="424">
        <v>0</v>
      </c>
      <c r="AB25" s="424">
        <v>0</v>
      </c>
      <c r="AC25" s="424">
        <v>0</v>
      </c>
      <c r="AD25" s="424">
        <v>0</v>
      </c>
      <c r="AE25" s="424">
        <v>0</v>
      </c>
      <c r="AF25" s="424">
        <v>0</v>
      </c>
      <c r="AG25" s="424">
        <v>0</v>
      </c>
    </row>
    <row r="26" spans="1:33" s="325" customFormat="1" ht="12.75" thickBot="1">
      <c r="A26" s="416"/>
      <c r="B26" s="416"/>
      <c r="C26" s="416" t="s">
        <v>94</v>
      </c>
      <c r="D26" s="416"/>
      <c r="E26" s="339">
        <f>SUM(E23:E25)</f>
        <v>711</v>
      </c>
      <c r="F26" s="339">
        <f t="shared" ref="F26:AA26" si="7">SUM(F23:F25)</f>
        <v>1639</v>
      </c>
      <c r="G26" s="339">
        <f t="shared" si="7"/>
        <v>981</v>
      </c>
      <c r="H26" s="339">
        <f t="shared" si="7"/>
        <v>1038</v>
      </c>
      <c r="I26" s="339">
        <f t="shared" si="7"/>
        <v>703</v>
      </c>
      <c r="J26" s="427">
        <f t="shared" si="7"/>
        <v>1557</v>
      </c>
      <c r="K26" s="427">
        <f t="shared" si="7"/>
        <v>1308</v>
      </c>
      <c r="L26" s="427">
        <f t="shared" si="7"/>
        <v>967</v>
      </c>
      <c r="M26" s="339">
        <f t="shared" si="7"/>
        <v>745</v>
      </c>
      <c r="N26" s="339">
        <f t="shared" si="7"/>
        <v>1427</v>
      </c>
      <c r="O26" s="339">
        <f t="shared" si="7"/>
        <v>1449</v>
      </c>
      <c r="P26" s="339">
        <f t="shared" si="7"/>
        <v>1146</v>
      </c>
      <c r="Q26" s="339">
        <f t="shared" si="7"/>
        <v>754</v>
      </c>
      <c r="R26" s="339">
        <f t="shared" si="7"/>
        <v>1407</v>
      </c>
      <c r="S26" s="339">
        <f t="shared" si="7"/>
        <v>1172</v>
      </c>
      <c r="T26" s="339">
        <f t="shared" si="7"/>
        <v>1075</v>
      </c>
      <c r="U26" s="339">
        <f t="shared" si="7"/>
        <v>841</v>
      </c>
      <c r="V26" s="339">
        <f t="shared" si="7"/>
        <v>1768</v>
      </c>
      <c r="W26" s="339">
        <f t="shared" si="7"/>
        <v>1324</v>
      </c>
      <c r="X26" s="339">
        <f t="shared" si="7"/>
        <v>1050</v>
      </c>
      <c r="Y26" s="339">
        <f t="shared" si="7"/>
        <v>691</v>
      </c>
      <c r="Z26" s="339">
        <f t="shared" si="7"/>
        <v>1518</v>
      </c>
      <c r="AA26" s="427">
        <f t="shared" si="7"/>
        <v>1111</v>
      </c>
      <c r="AB26" s="427">
        <f t="shared" ref="AB26:AC26" si="8">SUM(AB23:AB25)</f>
        <v>970</v>
      </c>
      <c r="AC26" s="427">
        <f t="shared" si="8"/>
        <v>753</v>
      </c>
      <c r="AD26" s="427">
        <f t="shared" ref="AD26:AE26" si="9">SUM(AD23:AD25)</f>
        <v>1575</v>
      </c>
      <c r="AE26" s="427">
        <f t="shared" si="9"/>
        <v>1278</v>
      </c>
      <c r="AF26" s="427">
        <f t="shared" ref="AF26" si="10">SUM(AF23:AF25)</f>
        <v>1044</v>
      </c>
      <c r="AG26" s="427">
        <f>SUM(AG23:AG25)</f>
        <v>990</v>
      </c>
    </row>
    <row r="27" spans="1:33" s="325" customFormat="1">
      <c r="E27" s="333"/>
      <c r="F27" s="333"/>
      <c r="G27" s="333"/>
      <c r="H27" s="333"/>
      <c r="I27" s="333"/>
      <c r="J27" s="333"/>
      <c r="K27" s="333"/>
      <c r="L27" s="333"/>
      <c r="M27" s="333"/>
      <c r="N27" s="333"/>
      <c r="O27" s="333"/>
      <c r="P27" s="333"/>
      <c r="Q27" s="333"/>
      <c r="R27" s="333"/>
      <c r="S27" s="333"/>
      <c r="T27" s="333"/>
      <c r="U27" s="333"/>
      <c r="V27" s="333"/>
      <c r="W27" s="333"/>
      <c r="X27" s="333"/>
      <c r="Y27" s="333"/>
      <c r="Z27" s="333"/>
      <c r="AA27" s="424"/>
      <c r="AB27" s="424"/>
      <c r="AC27" s="424"/>
      <c r="AD27" s="424"/>
      <c r="AE27" s="424"/>
      <c r="AF27" s="424"/>
      <c r="AG27" s="424"/>
    </row>
    <row r="28" spans="1:33" ht="13.5">
      <c r="B28" s="338" t="s">
        <v>187</v>
      </c>
      <c r="C28" s="325"/>
      <c r="D28" s="325"/>
      <c r="E28" s="341"/>
      <c r="F28" s="333"/>
      <c r="G28" s="333"/>
      <c r="H28" s="341"/>
      <c r="I28" s="333"/>
      <c r="J28" s="424"/>
      <c r="K28" s="428"/>
      <c r="L28" s="424"/>
      <c r="M28" s="333"/>
      <c r="N28" s="341"/>
      <c r="O28" s="333"/>
      <c r="P28" s="333"/>
      <c r="Q28" s="333"/>
      <c r="R28" s="333"/>
      <c r="S28" s="333"/>
      <c r="T28" s="333"/>
      <c r="U28" s="333"/>
      <c r="V28" s="333"/>
      <c r="W28" s="333"/>
      <c r="X28" s="333"/>
      <c r="Y28" s="333"/>
      <c r="Z28" s="333"/>
      <c r="AA28" s="424"/>
      <c r="AB28" s="424"/>
      <c r="AC28" s="424"/>
      <c r="AD28" s="424"/>
      <c r="AE28" s="424"/>
      <c r="AF28" s="424"/>
      <c r="AG28" s="424"/>
    </row>
    <row r="29" spans="1:33" s="325" customFormat="1" ht="12" customHeight="1">
      <c r="B29" s="325" t="s">
        <v>96</v>
      </c>
      <c r="E29" s="342"/>
      <c r="F29" s="342"/>
      <c r="G29" s="342"/>
      <c r="H29" s="342"/>
      <c r="I29" s="342"/>
      <c r="J29" s="342"/>
      <c r="K29" s="342"/>
      <c r="L29" s="342"/>
      <c r="M29" s="342"/>
      <c r="N29" s="342"/>
      <c r="O29" s="342"/>
      <c r="P29" s="342"/>
      <c r="Q29" s="342"/>
      <c r="R29" s="342"/>
      <c r="S29" s="342"/>
      <c r="T29" s="342"/>
      <c r="U29" s="342"/>
      <c r="V29" s="342"/>
      <c r="W29" s="342"/>
      <c r="X29" s="342"/>
      <c r="Y29" s="342"/>
      <c r="Z29" s="342"/>
      <c r="AA29" s="429"/>
      <c r="AB29" s="429"/>
      <c r="AC29" s="429"/>
      <c r="AD29" s="429"/>
      <c r="AE29" s="429"/>
      <c r="AF29" s="429"/>
      <c r="AG29" s="429"/>
    </row>
    <row r="30" spans="1:33" s="325" customFormat="1" ht="12" customHeight="1">
      <c r="C30" s="325" t="s">
        <v>312</v>
      </c>
      <c r="E30" s="333"/>
      <c r="F30" s="333">
        <f t="shared" ref="F30:AG30" si="11">F45-F10</f>
        <v>138</v>
      </c>
      <c r="G30" s="333">
        <f t="shared" si="11"/>
        <v>-33</v>
      </c>
      <c r="H30" s="333">
        <f t="shared" si="11"/>
        <v>-42</v>
      </c>
      <c r="I30" s="333">
        <f t="shared" si="11"/>
        <v>-31</v>
      </c>
      <c r="J30" s="333">
        <f t="shared" si="11"/>
        <v>12</v>
      </c>
      <c r="K30" s="333">
        <f t="shared" si="11"/>
        <v>-8</v>
      </c>
      <c r="L30" s="333">
        <f t="shared" si="11"/>
        <v>2</v>
      </c>
      <c r="M30" s="333">
        <f t="shared" si="11"/>
        <v>-7</v>
      </c>
      <c r="N30" s="333">
        <f t="shared" si="11"/>
        <v>204</v>
      </c>
      <c r="O30" s="333">
        <f t="shared" si="11"/>
        <v>-56</v>
      </c>
      <c r="P30" s="333">
        <f t="shared" si="11"/>
        <v>-67</v>
      </c>
      <c r="Q30" s="333">
        <f t="shared" si="11"/>
        <v>-62</v>
      </c>
      <c r="R30" s="333">
        <f t="shared" si="11"/>
        <v>-18</v>
      </c>
      <c r="S30" s="333">
        <f t="shared" si="11"/>
        <v>-6</v>
      </c>
      <c r="T30" s="333">
        <f t="shared" si="11"/>
        <v>-21</v>
      </c>
      <c r="U30" s="333">
        <f t="shared" si="11"/>
        <v>119</v>
      </c>
      <c r="V30" s="333">
        <f t="shared" si="11"/>
        <v>-8</v>
      </c>
      <c r="W30" s="333">
        <f t="shared" si="11"/>
        <v>-47</v>
      </c>
      <c r="X30" s="333">
        <f t="shared" si="11"/>
        <v>-39</v>
      </c>
      <c r="Y30" s="333">
        <f t="shared" si="11"/>
        <v>-24</v>
      </c>
      <c r="Z30" s="333">
        <f t="shared" si="11"/>
        <v>3</v>
      </c>
      <c r="AA30" s="424">
        <f t="shared" si="11"/>
        <v>26</v>
      </c>
      <c r="AB30" s="424">
        <f t="shared" si="11"/>
        <v>6</v>
      </c>
      <c r="AC30" s="424">
        <f t="shared" si="11"/>
        <v>4</v>
      </c>
      <c r="AD30" s="424">
        <f t="shared" si="11"/>
        <v>132</v>
      </c>
      <c r="AE30" s="424">
        <f t="shared" si="11"/>
        <v>-63</v>
      </c>
      <c r="AF30" s="424">
        <f t="shared" si="11"/>
        <v>-64</v>
      </c>
      <c r="AG30" s="424">
        <f t="shared" si="11"/>
        <v>-40</v>
      </c>
    </row>
    <row r="31" spans="1:33" s="325" customFormat="1" ht="12" customHeight="1">
      <c r="C31" s="325" t="s">
        <v>267</v>
      </c>
      <c r="E31" s="333"/>
      <c r="F31" s="333">
        <f t="shared" ref="F31:AG31" si="12">F46-F11</f>
        <v>32</v>
      </c>
      <c r="G31" s="333">
        <f t="shared" si="12"/>
        <v>-17</v>
      </c>
      <c r="H31" s="333">
        <f t="shared" si="12"/>
        <v>-13</v>
      </c>
      <c r="I31" s="333">
        <f t="shared" si="12"/>
        <v>3</v>
      </c>
      <c r="J31" s="333">
        <f t="shared" si="12"/>
        <v>76</v>
      </c>
      <c r="K31" s="333">
        <f t="shared" si="12"/>
        <v>-24</v>
      </c>
      <c r="L31" s="333">
        <f t="shared" si="12"/>
        <v>-38</v>
      </c>
      <c r="M31" s="333">
        <f t="shared" si="12"/>
        <v>141</v>
      </c>
      <c r="N31" s="333">
        <f t="shared" si="12"/>
        <v>0</v>
      </c>
      <c r="O31" s="333">
        <f t="shared" si="12"/>
        <v>-86</v>
      </c>
      <c r="P31" s="333">
        <f t="shared" si="12"/>
        <v>-34</v>
      </c>
      <c r="Q31" s="333">
        <f t="shared" si="12"/>
        <v>-4</v>
      </c>
      <c r="R31" s="333">
        <f t="shared" si="12"/>
        <v>52</v>
      </c>
      <c r="S31" s="333">
        <f t="shared" si="12"/>
        <v>-22</v>
      </c>
      <c r="T31" s="333">
        <f t="shared" si="12"/>
        <v>314</v>
      </c>
      <c r="U31" s="333">
        <f t="shared" si="12"/>
        <v>-165</v>
      </c>
      <c r="V31" s="333">
        <f t="shared" si="12"/>
        <v>-89</v>
      </c>
      <c r="W31" s="333">
        <f t="shared" si="12"/>
        <v>28</v>
      </c>
      <c r="X31" s="333">
        <f t="shared" si="12"/>
        <v>-57</v>
      </c>
      <c r="Y31" s="333">
        <f t="shared" si="12"/>
        <v>-38</v>
      </c>
      <c r="Z31" s="333">
        <f t="shared" si="12"/>
        <v>45</v>
      </c>
      <c r="AA31" s="424">
        <f t="shared" si="12"/>
        <v>139</v>
      </c>
      <c r="AB31" s="424">
        <f t="shared" si="12"/>
        <v>-51</v>
      </c>
      <c r="AC31" s="424">
        <f t="shared" si="12"/>
        <v>-69</v>
      </c>
      <c r="AD31" s="424">
        <f t="shared" si="12"/>
        <v>23</v>
      </c>
      <c r="AE31" s="424">
        <f t="shared" si="12"/>
        <v>13</v>
      </c>
      <c r="AF31" s="424">
        <f t="shared" si="12"/>
        <v>36</v>
      </c>
      <c r="AG31" s="424">
        <f t="shared" si="12"/>
        <v>4</v>
      </c>
    </row>
    <row r="32" spans="1:33" s="325" customFormat="1" ht="12" customHeight="1">
      <c r="E32" s="333"/>
      <c r="F32" s="333"/>
      <c r="G32" s="333"/>
      <c r="H32" s="333"/>
      <c r="I32" s="333"/>
      <c r="J32" s="333"/>
      <c r="K32" s="333"/>
      <c r="L32" s="333"/>
      <c r="M32" s="333"/>
      <c r="N32" s="333"/>
      <c r="O32" s="333"/>
      <c r="P32" s="333"/>
      <c r="Q32" s="333"/>
      <c r="R32" s="333"/>
      <c r="S32" s="333"/>
      <c r="T32" s="333"/>
      <c r="U32" s="333"/>
      <c r="V32" s="333"/>
      <c r="W32" s="333"/>
      <c r="X32" s="333"/>
      <c r="Y32" s="333"/>
      <c r="Z32" s="333"/>
      <c r="AA32" s="424"/>
      <c r="AB32" s="424"/>
      <c r="AC32" s="424"/>
      <c r="AD32" s="424"/>
      <c r="AE32" s="424"/>
      <c r="AF32" s="424"/>
      <c r="AG32" s="424"/>
    </row>
    <row r="33" spans="2:33" ht="12" customHeight="1">
      <c r="B33" s="325"/>
      <c r="C33" s="325"/>
      <c r="D33" s="325" t="s">
        <v>331</v>
      </c>
      <c r="E33" s="334"/>
      <c r="F33" s="333">
        <v>0</v>
      </c>
      <c r="G33" s="333">
        <v>0</v>
      </c>
      <c r="H33" s="333">
        <v>0</v>
      </c>
      <c r="I33" s="333">
        <v>0</v>
      </c>
      <c r="J33" s="333">
        <v>0</v>
      </c>
      <c r="K33" s="333">
        <v>0</v>
      </c>
      <c r="L33" s="333">
        <v>0</v>
      </c>
      <c r="M33" s="333">
        <v>0</v>
      </c>
      <c r="N33" s="333">
        <v>0</v>
      </c>
      <c r="O33" s="333">
        <v>0</v>
      </c>
      <c r="P33" s="333">
        <v>0</v>
      </c>
      <c r="Q33" s="333">
        <v>0</v>
      </c>
      <c r="R33" s="333">
        <v>0</v>
      </c>
      <c r="S33" s="333">
        <v>0</v>
      </c>
      <c r="T33" s="333">
        <v>0</v>
      </c>
      <c r="U33" s="333">
        <v>0</v>
      </c>
      <c r="V33" s="333">
        <v>16</v>
      </c>
      <c r="W33" s="333">
        <v>-4</v>
      </c>
      <c r="X33" s="333">
        <v>-4</v>
      </c>
      <c r="Y33" s="333">
        <v>-2</v>
      </c>
      <c r="Z33" s="333">
        <v>222</v>
      </c>
      <c r="AA33" s="424">
        <v>-76</v>
      </c>
      <c r="AB33" s="424">
        <v>-70</v>
      </c>
      <c r="AC33" s="424">
        <v>359</v>
      </c>
      <c r="AD33" s="424">
        <v>263</v>
      </c>
      <c r="AE33" s="424">
        <v>-301</v>
      </c>
      <c r="AF33" s="424">
        <v>-152</v>
      </c>
      <c r="AG33" s="424">
        <v>88</v>
      </c>
    </row>
    <row r="34" spans="2:33" ht="12" customHeight="1">
      <c r="B34" s="325"/>
      <c r="C34" s="325"/>
      <c r="D34" s="325" t="s">
        <v>330</v>
      </c>
      <c r="E34" s="334"/>
      <c r="F34" s="333">
        <v>535</v>
      </c>
      <c r="G34" s="333">
        <v>-206</v>
      </c>
      <c r="H34" s="333">
        <v>-182</v>
      </c>
      <c r="I34" s="333">
        <v>80</v>
      </c>
      <c r="J34" s="333">
        <v>850</v>
      </c>
      <c r="K34" s="333">
        <v>-562</v>
      </c>
      <c r="L34" s="333">
        <v>-249</v>
      </c>
      <c r="M34" s="333">
        <v>-22</v>
      </c>
      <c r="N34" s="333">
        <v>909</v>
      </c>
      <c r="O34" s="333">
        <v>-549</v>
      </c>
      <c r="P34" s="333">
        <v>-341</v>
      </c>
      <c r="Q34" s="333">
        <v>-59</v>
      </c>
      <c r="R34" s="333">
        <v>960</v>
      </c>
      <c r="S34" s="333">
        <v>-554</v>
      </c>
      <c r="T34" s="333">
        <v>-311</v>
      </c>
      <c r="U34" s="333">
        <v>-44</v>
      </c>
      <c r="V34" s="333">
        <v>908</v>
      </c>
      <c r="W34" s="333">
        <v>-497</v>
      </c>
      <c r="X34" s="333">
        <v>-342</v>
      </c>
      <c r="Y34" s="333">
        <v>30</v>
      </c>
      <c r="Z34" s="333">
        <v>484</v>
      </c>
      <c r="AA34" s="424">
        <v>-428</v>
      </c>
      <c r="AB34" s="424">
        <v>-208</v>
      </c>
      <c r="AC34" s="424">
        <v>123</v>
      </c>
      <c r="AD34" s="424">
        <v>219</v>
      </c>
      <c r="AE34" s="424">
        <v>-225</v>
      </c>
      <c r="AF34" s="424">
        <v>-131</v>
      </c>
      <c r="AG34" s="424">
        <v>-8</v>
      </c>
    </row>
    <row r="35" spans="2:33" ht="6.75" customHeight="1">
      <c r="B35" s="325"/>
      <c r="C35" s="325"/>
      <c r="D35" s="325"/>
      <c r="E35" s="334"/>
      <c r="F35" s="333"/>
      <c r="G35" s="333"/>
      <c r="H35" s="333"/>
      <c r="I35" s="333"/>
      <c r="J35" s="333"/>
      <c r="K35" s="333"/>
      <c r="L35" s="333"/>
      <c r="M35" s="333"/>
      <c r="N35" s="333"/>
      <c r="O35" s="333"/>
      <c r="P35" s="333"/>
      <c r="Q35" s="333"/>
      <c r="R35" s="333"/>
      <c r="S35" s="333"/>
      <c r="T35" s="333"/>
      <c r="U35" s="333"/>
      <c r="V35" s="333"/>
      <c r="W35" s="333"/>
      <c r="X35" s="333"/>
      <c r="Y35" s="333"/>
      <c r="Z35" s="333"/>
      <c r="AA35" s="424"/>
      <c r="AB35" s="424"/>
      <c r="AC35" s="424"/>
      <c r="AD35" s="424"/>
      <c r="AE35" s="424"/>
      <c r="AF35" s="424"/>
      <c r="AG35" s="424"/>
    </row>
    <row r="36" spans="2:33">
      <c r="B36" s="325"/>
      <c r="C36" s="325" t="s">
        <v>210</v>
      </c>
      <c r="D36" s="325"/>
      <c r="E36" s="334"/>
      <c r="F36" s="354">
        <f>F33+F34</f>
        <v>535</v>
      </c>
      <c r="G36" s="354">
        <f t="shared" ref="G36:AG36" si="13">G33+G34</f>
        <v>-206</v>
      </c>
      <c r="H36" s="354">
        <f t="shared" si="13"/>
        <v>-182</v>
      </c>
      <c r="I36" s="354">
        <f t="shared" si="13"/>
        <v>80</v>
      </c>
      <c r="J36" s="354">
        <f t="shared" si="13"/>
        <v>850</v>
      </c>
      <c r="K36" s="354">
        <f t="shared" si="13"/>
        <v>-562</v>
      </c>
      <c r="L36" s="354">
        <f t="shared" si="13"/>
        <v>-249</v>
      </c>
      <c r="M36" s="354">
        <f t="shared" si="13"/>
        <v>-22</v>
      </c>
      <c r="N36" s="354">
        <f t="shared" si="13"/>
        <v>909</v>
      </c>
      <c r="O36" s="354">
        <f t="shared" si="13"/>
        <v>-549</v>
      </c>
      <c r="P36" s="354">
        <f t="shared" si="13"/>
        <v>-341</v>
      </c>
      <c r="Q36" s="354">
        <f t="shared" si="13"/>
        <v>-59</v>
      </c>
      <c r="R36" s="354">
        <f t="shared" si="13"/>
        <v>960</v>
      </c>
      <c r="S36" s="354">
        <f t="shared" si="13"/>
        <v>-554</v>
      </c>
      <c r="T36" s="354">
        <f t="shared" si="13"/>
        <v>-311</v>
      </c>
      <c r="U36" s="354">
        <f t="shared" si="13"/>
        <v>-44</v>
      </c>
      <c r="V36" s="354">
        <f t="shared" si="13"/>
        <v>924</v>
      </c>
      <c r="W36" s="354">
        <f t="shared" si="13"/>
        <v>-501</v>
      </c>
      <c r="X36" s="354">
        <f t="shared" si="13"/>
        <v>-346</v>
      </c>
      <c r="Y36" s="354">
        <f t="shared" si="13"/>
        <v>28</v>
      </c>
      <c r="Z36" s="354">
        <f t="shared" si="13"/>
        <v>706</v>
      </c>
      <c r="AA36" s="627">
        <f t="shared" si="13"/>
        <v>-504</v>
      </c>
      <c r="AB36" s="627">
        <f t="shared" si="13"/>
        <v>-278</v>
      </c>
      <c r="AC36" s="627">
        <f t="shared" si="13"/>
        <v>482</v>
      </c>
      <c r="AD36" s="627">
        <f t="shared" si="13"/>
        <v>482</v>
      </c>
      <c r="AE36" s="627">
        <f t="shared" si="13"/>
        <v>-526</v>
      </c>
      <c r="AF36" s="627">
        <f t="shared" si="13"/>
        <v>-283</v>
      </c>
      <c r="AG36" s="627">
        <f t="shared" si="13"/>
        <v>80</v>
      </c>
    </row>
    <row r="37" spans="2:33">
      <c r="B37" s="325"/>
      <c r="C37" s="325"/>
      <c r="D37" s="325"/>
      <c r="E37" s="333"/>
      <c r="F37" s="333"/>
      <c r="G37" s="333"/>
      <c r="H37" s="333"/>
      <c r="I37" s="333"/>
      <c r="J37" s="333"/>
      <c r="K37" s="333"/>
      <c r="L37" s="333"/>
      <c r="M37" s="333"/>
      <c r="N37" s="333"/>
      <c r="O37" s="333"/>
      <c r="P37" s="333"/>
      <c r="Q37" s="333"/>
      <c r="R37" s="333"/>
      <c r="S37" s="333"/>
      <c r="T37" s="333"/>
      <c r="U37" s="333"/>
      <c r="V37" s="333"/>
      <c r="W37" s="333"/>
      <c r="X37" s="333"/>
      <c r="Y37" s="333"/>
      <c r="Z37" s="333"/>
      <c r="AA37" s="424"/>
      <c r="AB37" s="424"/>
      <c r="AC37" s="424"/>
      <c r="AD37" s="424"/>
      <c r="AE37" s="424"/>
      <c r="AF37" s="424"/>
      <c r="AG37" s="424"/>
    </row>
    <row r="38" spans="2:33" s="325" customFormat="1" ht="13.5">
      <c r="C38" s="325" t="s">
        <v>315</v>
      </c>
      <c r="D38" s="416"/>
      <c r="E38" s="333"/>
      <c r="F38" s="335">
        <f t="shared" ref="F38:AG38" si="14">F53-F18</f>
        <v>0</v>
      </c>
      <c r="G38" s="335">
        <f t="shared" si="14"/>
        <v>0</v>
      </c>
      <c r="H38" s="335">
        <f t="shared" si="14"/>
        <v>0</v>
      </c>
      <c r="I38" s="335">
        <f t="shared" si="14"/>
        <v>0</v>
      </c>
      <c r="J38" s="335">
        <f t="shared" si="14"/>
        <v>0</v>
      </c>
      <c r="K38" s="335">
        <f t="shared" si="14"/>
        <v>0</v>
      </c>
      <c r="L38" s="335">
        <f t="shared" si="14"/>
        <v>1</v>
      </c>
      <c r="M38" s="335">
        <f t="shared" si="14"/>
        <v>0</v>
      </c>
      <c r="N38" s="335">
        <f t="shared" si="14"/>
        <v>8</v>
      </c>
      <c r="O38" s="335">
        <f t="shared" si="14"/>
        <v>-3</v>
      </c>
      <c r="P38" s="335">
        <f t="shared" si="14"/>
        <v>-5</v>
      </c>
      <c r="Q38" s="335">
        <f t="shared" si="14"/>
        <v>-2</v>
      </c>
      <c r="R38" s="335">
        <f t="shared" si="14"/>
        <v>7</v>
      </c>
      <c r="S38" s="335">
        <f t="shared" si="14"/>
        <v>-3</v>
      </c>
      <c r="T38" s="335">
        <f t="shared" si="14"/>
        <v>-3</v>
      </c>
      <c r="U38" s="335">
        <f t="shared" si="14"/>
        <v>0</v>
      </c>
      <c r="V38" s="335">
        <f t="shared" si="14"/>
        <v>0</v>
      </c>
      <c r="W38" s="335">
        <f t="shared" si="14"/>
        <v>0</v>
      </c>
      <c r="X38" s="335">
        <f t="shared" si="14"/>
        <v>0</v>
      </c>
      <c r="Y38" s="335">
        <f t="shared" si="14"/>
        <v>0</v>
      </c>
      <c r="Z38" s="335">
        <f t="shared" si="14"/>
        <v>0</v>
      </c>
      <c r="AA38" s="425">
        <f t="shared" si="14"/>
        <v>0</v>
      </c>
      <c r="AB38" s="425">
        <f t="shared" si="14"/>
        <v>11</v>
      </c>
      <c r="AC38" s="425">
        <f t="shared" si="14"/>
        <v>0</v>
      </c>
      <c r="AD38" s="425">
        <f t="shared" si="14"/>
        <v>1</v>
      </c>
      <c r="AE38" s="425">
        <f t="shared" si="14"/>
        <v>1</v>
      </c>
      <c r="AF38" s="425">
        <f t="shared" si="14"/>
        <v>26</v>
      </c>
      <c r="AG38" s="425">
        <f t="shared" si="14"/>
        <v>6</v>
      </c>
    </row>
    <row r="39" spans="2:33" s="325" customFormat="1">
      <c r="C39" s="325" t="s">
        <v>100</v>
      </c>
      <c r="E39" s="333"/>
      <c r="F39" s="335">
        <f t="shared" ref="F39:AF39" si="15">F30+F31+F36+F38</f>
        <v>705</v>
      </c>
      <c r="G39" s="335">
        <f t="shared" si="15"/>
        <v>-256</v>
      </c>
      <c r="H39" s="335">
        <f t="shared" si="15"/>
        <v>-237</v>
      </c>
      <c r="I39" s="335">
        <f t="shared" si="15"/>
        <v>52</v>
      </c>
      <c r="J39" s="335">
        <f t="shared" si="15"/>
        <v>938</v>
      </c>
      <c r="K39" s="335">
        <f t="shared" si="15"/>
        <v>-594</v>
      </c>
      <c r="L39" s="335">
        <f t="shared" si="15"/>
        <v>-284</v>
      </c>
      <c r="M39" s="335">
        <f t="shared" si="15"/>
        <v>112</v>
      </c>
      <c r="N39" s="335">
        <f t="shared" si="15"/>
        <v>1121</v>
      </c>
      <c r="O39" s="335">
        <f t="shared" si="15"/>
        <v>-694</v>
      </c>
      <c r="P39" s="335">
        <f t="shared" si="15"/>
        <v>-447</v>
      </c>
      <c r="Q39" s="335">
        <f t="shared" si="15"/>
        <v>-127</v>
      </c>
      <c r="R39" s="335">
        <f t="shared" si="15"/>
        <v>1001</v>
      </c>
      <c r="S39" s="335">
        <f t="shared" si="15"/>
        <v>-585</v>
      </c>
      <c r="T39" s="335">
        <f t="shared" si="15"/>
        <v>-21</v>
      </c>
      <c r="U39" s="335">
        <f t="shared" si="15"/>
        <v>-90</v>
      </c>
      <c r="V39" s="335">
        <f t="shared" si="15"/>
        <v>827</v>
      </c>
      <c r="W39" s="335">
        <f t="shared" si="15"/>
        <v>-520</v>
      </c>
      <c r="X39" s="335">
        <f t="shared" si="15"/>
        <v>-442</v>
      </c>
      <c r="Y39" s="335">
        <f t="shared" si="15"/>
        <v>-34</v>
      </c>
      <c r="Z39" s="335">
        <f t="shared" si="15"/>
        <v>754</v>
      </c>
      <c r="AA39" s="425">
        <f t="shared" si="15"/>
        <v>-339</v>
      </c>
      <c r="AB39" s="425">
        <f t="shared" si="15"/>
        <v>-312</v>
      </c>
      <c r="AC39" s="425">
        <f t="shared" si="15"/>
        <v>417</v>
      </c>
      <c r="AD39" s="425">
        <f t="shared" si="15"/>
        <v>638</v>
      </c>
      <c r="AE39" s="425">
        <f t="shared" si="15"/>
        <v>-575</v>
      </c>
      <c r="AF39" s="425">
        <f t="shared" si="15"/>
        <v>-285</v>
      </c>
      <c r="AG39" s="425">
        <f>AG30+AG31+AG36+AG38</f>
        <v>50</v>
      </c>
    </row>
    <row r="40" spans="2:33" s="325" customFormat="1" ht="4.5" customHeight="1">
      <c r="E40" s="333"/>
      <c r="F40" s="337"/>
      <c r="G40" s="337"/>
      <c r="H40" s="333"/>
      <c r="I40" s="333"/>
      <c r="J40" s="628"/>
      <c r="K40" s="424"/>
      <c r="L40" s="424"/>
      <c r="M40" s="337"/>
      <c r="N40" s="333"/>
      <c r="O40" s="333"/>
      <c r="P40" s="333"/>
      <c r="Q40" s="333"/>
      <c r="R40" s="333"/>
      <c r="S40" s="333"/>
      <c r="T40" s="333"/>
      <c r="U40" s="333"/>
      <c r="V40" s="333"/>
      <c r="W40" s="333"/>
      <c r="X40" s="333"/>
      <c r="Y40" s="333"/>
      <c r="Z40" s="333"/>
      <c r="AA40" s="424"/>
      <c r="AB40" s="424"/>
      <c r="AC40" s="424"/>
      <c r="AD40" s="424"/>
      <c r="AE40" s="424"/>
      <c r="AF40" s="424"/>
      <c r="AG40" s="424"/>
    </row>
    <row r="41" spans="2:33" s="325" customFormat="1" ht="13.5">
      <c r="B41" s="416"/>
      <c r="C41" s="416" t="s">
        <v>268</v>
      </c>
      <c r="D41" s="416"/>
      <c r="E41" s="337"/>
      <c r="F41" s="343">
        <f t="shared" ref="F41:AG41" si="16">-F25</f>
        <v>-1</v>
      </c>
      <c r="G41" s="343">
        <f t="shared" si="16"/>
        <v>-1</v>
      </c>
      <c r="H41" s="343">
        <f t="shared" si="16"/>
        <v>0</v>
      </c>
      <c r="I41" s="343">
        <f t="shared" si="16"/>
        <v>0</v>
      </c>
      <c r="J41" s="629">
        <f t="shared" si="16"/>
        <v>0</v>
      </c>
      <c r="K41" s="629">
        <f t="shared" si="16"/>
        <v>0</v>
      </c>
      <c r="L41" s="629">
        <f t="shared" si="16"/>
        <v>0</v>
      </c>
      <c r="M41" s="343">
        <f t="shared" si="16"/>
        <v>0</v>
      </c>
      <c r="N41" s="343">
        <f t="shared" si="16"/>
        <v>0</v>
      </c>
      <c r="O41" s="343">
        <f t="shared" si="16"/>
        <v>0</v>
      </c>
      <c r="P41" s="343">
        <f t="shared" si="16"/>
        <v>0</v>
      </c>
      <c r="Q41" s="343">
        <f t="shared" si="16"/>
        <v>0</v>
      </c>
      <c r="R41" s="343">
        <f t="shared" si="16"/>
        <v>0</v>
      </c>
      <c r="S41" s="343">
        <f t="shared" si="16"/>
        <v>0</v>
      </c>
      <c r="T41" s="343">
        <f t="shared" si="16"/>
        <v>0</v>
      </c>
      <c r="U41" s="343">
        <f t="shared" si="16"/>
        <v>0</v>
      </c>
      <c r="V41" s="343">
        <f t="shared" si="16"/>
        <v>0</v>
      </c>
      <c r="W41" s="343">
        <f t="shared" si="16"/>
        <v>0</v>
      </c>
      <c r="X41" s="343">
        <f t="shared" si="16"/>
        <v>0</v>
      </c>
      <c r="Y41" s="343">
        <f t="shared" si="16"/>
        <v>0</v>
      </c>
      <c r="Z41" s="343">
        <f t="shared" si="16"/>
        <v>0</v>
      </c>
      <c r="AA41" s="629">
        <f t="shared" si="16"/>
        <v>0</v>
      </c>
      <c r="AB41" s="629">
        <f t="shared" si="16"/>
        <v>0</v>
      </c>
      <c r="AC41" s="629">
        <f t="shared" si="16"/>
        <v>0</v>
      </c>
      <c r="AD41" s="629">
        <f t="shared" si="16"/>
        <v>0</v>
      </c>
      <c r="AE41" s="629">
        <f t="shared" si="16"/>
        <v>0</v>
      </c>
      <c r="AF41" s="629">
        <f t="shared" si="16"/>
        <v>0</v>
      </c>
      <c r="AG41" s="629">
        <f t="shared" si="16"/>
        <v>0</v>
      </c>
    </row>
    <row r="42" spans="2:33" s="325" customFormat="1">
      <c r="E42" s="333"/>
      <c r="F42" s="337"/>
      <c r="G42" s="337"/>
      <c r="H42" s="337"/>
      <c r="I42" s="337"/>
      <c r="J42" s="337"/>
      <c r="K42" s="337"/>
      <c r="L42" s="337"/>
      <c r="M42" s="337"/>
      <c r="N42" s="337"/>
      <c r="O42" s="337"/>
      <c r="P42" s="337"/>
      <c r="Q42" s="337"/>
      <c r="R42" s="337"/>
      <c r="S42" s="337"/>
      <c r="T42" s="337"/>
      <c r="U42" s="337"/>
      <c r="V42" s="337"/>
      <c r="W42" s="337"/>
      <c r="X42" s="337"/>
      <c r="Y42" s="337"/>
      <c r="Z42" s="337"/>
      <c r="AA42" s="628"/>
      <c r="AB42" s="628"/>
      <c r="AC42" s="628"/>
      <c r="AD42" s="628"/>
      <c r="AE42" s="628"/>
      <c r="AF42" s="628"/>
      <c r="AG42" s="628"/>
    </row>
    <row r="43" spans="2:33">
      <c r="B43" s="338" t="s">
        <v>101</v>
      </c>
      <c r="C43" s="325"/>
      <c r="D43" s="325"/>
      <c r="E43" s="342"/>
      <c r="F43" s="334"/>
      <c r="G43" s="334"/>
      <c r="H43" s="342"/>
      <c r="I43" s="334"/>
      <c r="J43" s="423"/>
      <c r="K43" s="429"/>
      <c r="L43" s="423"/>
      <c r="M43" s="334"/>
      <c r="N43" s="342"/>
      <c r="O43" s="334"/>
      <c r="P43" s="334"/>
      <c r="Q43" s="334"/>
      <c r="R43" s="334"/>
      <c r="S43" s="334"/>
      <c r="T43" s="334"/>
      <c r="U43" s="334"/>
      <c r="V43" s="334"/>
      <c r="W43" s="334"/>
      <c r="X43" s="334"/>
      <c r="Y43" s="334"/>
      <c r="Z43" s="334"/>
      <c r="AA43" s="423"/>
      <c r="AB43" s="423"/>
      <c r="AC43" s="423"/>
      <c r="AD43" s="423"/>
      <c r="AE43" s="423"/>
      <c r="AF43" s="423"/>
      <c r="AG43" s="423"/>
    </row>
    <row r="44" spans="2:33" s="325" customFormat="1" ht="12" customHeight="1">
      <c r="B44" s="325" t="s">
        <v>96</v>
      </c>
      <c r="E44" s="342"/>
      <c r="F44" s="334"/>
      <c r="G44" s="334"/>
      <c r="H44" s="334"/>
      <c r="I44" s="334"/>
      <c r="J44" s="334"/>
      <c r="K44" s="334"/>
      <c r="L44" s="334"/>
      <c r="M44" s="334"/>
      <c r="N44" s="334"/>
      <c r="O44" s="334"/>
      <c r="P44" s="334"/>
      <c r="Q44" s="334"/>
      <c r="R44" s="334"/>
      <c r="S44" s="334"/>
      <c r="T44" s="334"/>
      <c r="U44" s="334"/>
      <c r="V44" s="334"/>
      <c r="W44" s="334"/>
      <c r="X44" s="334"/>
      <c r="Y44" s="334"/>
      <c r="Z44" s="334"/>
      <c r="AA44" s="423"/>
      <c r="AB44" s="423"/>
      <c r="AC44" s="423"/>
      <c r="AD44" s="423"/>
      <c r="AE44" s="423"/>
      <c r="AF44" s="423"/>
      <c r="AG44" s="423"/>
    </row>
    <row r="45" spans="2:33" s="325" customFormat="1" ht="12" customHeight="1">
      <c r="C45" s="325" t="s">
        <v>312</v>
      </c>
      <c r="E45" s="333"/>
      <c r="F45" s="342">
        <v>464</v>
      </c>
      <c r="G45" s="342">
        <v>286</v>
      </c>
      <c r="H45" s="333">
        <v>285</v>
      </c>
      <c r="I45" s="333">
        <v>275</v>
      </c>
      <c r="J45" s="429">
        <v>320</v>
      </c>
      <c r="K45" s="424">
        <v>302</v>
      </c>
      <c r="L45" s="424">
        <v>293</v>
      </c>
      <c r="M45" s="342">
        <v>282</v>
      </c>
      <c r="N45" s="333">
        <v>544</v>
      </c>
      <c r="O45" s="333">
        <v>339</v>
      </c>
      <c r="P45" s="333">
        <v>292</v>
      </c>
      <c r="Q45" s="333">
        <v>274</v>
      </c>
      <c r="R45" s="333">
        <v>250</v>
      </c>
      <c r="S45" s="333">
        <v>250</v>
      </c>
      <c r="T45" s="333">
        <v>199</v>
      </c>
      <c r="U45" s="333">
        <v>345</v>
      </c>
      <c r="V45" s="333">
        <v>277</v>
      </c>
      <c r="W45" s="333">
        <v>228</v>
      </c>
      <c r="X45" s="333">
        <v>194</v>
      </c>
      <c r="Y45" s="333">
        <v>181</v>
      </c>
      <c r="Z45" s="333">
        <v>201</v>
      </c>
      <c r="AA45" s="424">
        <v>227</v>
      </c>
      <c r="AB45" s="424">
        <v>201</v>
      </c>
      <c r="AC45" s="424">
        <v>209</v>
      </c>
      <c r="AD45" s="424">
        <v>398</v>
      </c>
      <c r="AE45" s="424">
        <v>209</v>
      </c>
      <c r="AF45" s="424">
        <v>157</v>
      </c>
      <c r="AG45" s="424">
        <v>155</v>
      </c>
    </row>
    <row r="46" spans="2:33" s="325" customFormat="1" ht="12" customHeight="1">
      <c r="C46" s="325" t="s">
        <v>267</v>
      </c>
      <c r="E46" s="333"/>
      <c r="F46" s="429">
        <v>73</v>
      </c>
      <c r="G46" s="429">
        <v>20</v>
      </c>
      <c r="H46" s="333">
        <v>23</v>
      </c>
      <c r="I46" s="424">
        <v>27</v>
      </c>
      <c r="J46" s="429">
        <v>117</v>
      </c>
      <c r="K46" s="424">
        <v>19</v>
      </c>
      <c r="L46" s="424">
        <v>37</v>
      </c>
      <c r="M46" s="342">
        <v>211</v>
      </c>
      <c r="N46" s="424">
        <v>113</v>
      </c>
      <c r="O46" s="333">
        <v>32</v>
      </c>
      <c r="P46" s="333">
        <v>42</v>
      </c>
      <c r="Q46" s="333">
        <v>36</v>
      </c>
      <c r="R46" s="333">
        <v>99</v>
      </c>
      <c r="S46" s="333">
        <v>25</v>
      </c>
      <c r="T46" s="333">
        <v>465</v>
      </c>
      <c r="U46" s="333">
        <v>107</v>
      </c>
      <c r="V46" s="333">
        <v>116</v>
      </c>
      <c r="W46" s="333">
        <v>121</v>
      </c>
      <c r="X46" s="333">
        <v>43</v>
      </c>
      <c r="Y46" s="333">
        <v>41</v>
      </c>
      <c r="Z46" s="333">
        <v>111</v>
      </c>
      <c r="AA46" s="424">
        <v>239</v>
      </c>
      <c r="AB46" s="424">
        <v>131</v>
      </c>
      <c r="AC46" s="424">
        <v>96</v>
      </c>
      <c r="AD46" s="424">
        <v>127</v>
      </c>
      <c r="AE46" s="424">
        <v>127</v>
      </c>
      <c r="AF46" s="424">
        <v>185</v>
      </c>
      <c r="AG46" s="424">
        <v>168</v>
      </c>
    </row>
    <row r="47" spans="2:33" s="325" customFormat="1" ht="12" customHeight="1">
      <c r="E47" s="333"/>
      <c r="F47" s="429"/>
      <c r="G47" s="429"/>
      <c r="H47" s="333"/>
      <c r="I47" s="424"/>
      <c r="J47" s="429"/>
      <c r="K47" s="424"/>
      <c r="L47" s="424"/>
      <c r="M47" s="342"/>
      <c r="N47" s="424"/>
      <c r="O47" s="333"/>
      <c r="P47" s="333"/>
      <c r="Q47" s="333"/>
      <c r="R47" s="333"/>
      <c r="S47" s="333"/>
      <c r="T47" s="333"/>
      <c r="U47" s="333"/>
      <c r="V47" s="333"/>
      <c r="W47" s="333"/>
      <c r="X47" s="333"/>
      <c r="Y47" s="333"/>
      <c r="Z47" s="333"/>
      <c r="AA47" s="424"/>
      <c r="AB47" s="424"/>
      <c r="AC47" s="424"/>
      <c r="AD47" s="424"/>
      <c r="AE47" s="424"/>
      <c r="AF47" s="424"/>
      <c r="AG47" s="424"/>
    </row>
    <row r="48" spans="2:33" ht="12" customHeight="1">
      <c r="B48" s="325"/>
      <c r="C48" s="325"/>
      <c r="D48" s="325" t="s">
        <v>331</v>
      </c>
      <c r="E48" s="334"/>
      <c r="F48" s="333">
        <v>0</v>
      </c>
      <c r="G48" s="333">
        <v>0</v>
      </c>
      <c r="H48" s="333">
        <v>0</v>
      </c>
      <c r="I48" s="333">
        <v>0</v>
      </c>
      <c r="J48" s="333">
        <v>0</v>
      </c>
      <c r="K48" s="333">
        <v>0</v>
      </c>
      <c r="L48" s="333">
        <v>0</v>
      </c>
      <c r="M48" s="333">
        <v>0</v>
      </c>
      <c r="N48" s="333">
        <v>0</v>
      </c>
      <c r="O48" s="333">
        <v>0</v>
      </c>
      <c r="P48" s="333">
        <v>0</v>
      </c>
      <c r="Q48" s="333">
        <v>0</v>
      </c>
      <c r="R48" s="333">
        <v>0</v>
      </c>
      <c r="S48" s="333">
        <v>0</v>
      </c>
      <c r="T48" s="333">
        <v>0</v>
      </c>
      <c r="U48" s="333">
        <v>0</v>
      </c>
      <c r="V48" s="333">
        <v>32</v>
      </c>
      <c r="W48" s="333">
        <v>3</v>
      </c>
      <c r="X48" s="333">
        <v>0</v>
      </c>
      <c r="Y48" s="333">
        <v>1</v>
      </c>
      <c r="Z48" s="333">
        <v>301</v>
      </c>
      <c r="AA48" s="424">
        <v>32</v>
      </c>
      <c r="AB48" s="424">
        <v>67</v>
      </c>
      <c r="AC48" s="424">
        <v>468</v>
      </c>
      <c r="AD48" s="424">
        <v>630</v>
      </c>
      <c r="AE48" s="424">
        <v>133</v>
      </c>
      <c r="AF48" s="424">
        <v>165</v>
      </c>
      <c r="AG48" s="424">
        <v>333</v>
      </c>
    </row>
    <row r="49" spans="2:34" ht="12" customHeight="1">
      <c r="B49" s="325"/>
      <c r="C49" s="325"/>
      <c r="D49" s="325" t="s">
        <v>330</v>
      </c>
      <c r="E49" s="334"/>
      <c r="F49" s="333">
        <v>1493</v>
      </c>
      <c r="G49" s="333">
        <v>297</v>
      </c>
      <c r="H49" s="333">
        <v>363</v>
      </c>
      <c r="I49" s="333">
        <v>366</v>
      </c>
      <c r="J49" s="333">
        <v>1715</v>
      </c>
      <c r="K49" s="333">
        <v>277</v>
      </c>
      <c r="L49" s="333">
        <v>258</v>
      </c>
      <c r="M49" s="333">
        <v>276</v>
      </c>
      <c r="N49" s="333">
        <v>1596</v>
      </c>
      <c r="O49" s="333">
        <v>275</v>
      </c>
      <c r="P49" s="333">
        <v>270</v>
      </c>
      <c r="Q49" s="333">
        <v>218</v>
      </c>
      <c r="R49" s="333">
        <v>1688</v>
      </c>
      <c r="S49" s="333">
        <v>134</v>
      </c>
      <c r="T49" s="333">
        <v>203</v>
      </c>
      <c r="U49" s="333">
        <v>183</v>
      </c>
      <c r="V49" s="333">
        <v>1648</v>
      </c>
      <c r="W49" s="333">
        <v>245</v>
      </c>
      <c r="X49" s="333">
        <v>244</v>
      </c>
      <c r="Y49" s="333">
        <v>323</v>
      </c>
      <c r="Z49" s="333">
        <v>1150</v>
      </c>
      <c r="AA49" s="333">
        <v>118</v>
      </c>
      <c r="AB49" s="333">
        <v>134</v>
      </c>
      <c r="AC49" s="333">
        <v>284</v>
      </c>
      <c r="AD49" s="333">
        <v>599</v>
      </c>
      <c r="AE49" s="333">
        <v>99</v>
      </c>
      <c r="AF49" s="333">
        <v>111</v>
      </c>
      <c r="AG49" s="333">
        <v>167</v>
      </c>
    </row>
    <row r="50" spans="2:34" s="325" customFormat="1" ht="6.75" customHeight="1">
      <c r="E50" s="333"/>
      <c r="F50" s="429"/>
      <c r="G50" s="429"/>
      <c r="H50" s="333"/>
      <c r="I50" s="424"/>
      <c r="J50" s="429"/>
      <c r="K50" s="424"/>
      <c r="L50" s="424"/>
      <c r="M50" s="342"/>
      <c r="N50" s="424"/>
      <c r="O50" s="333"/>
      <c r="P50" s="333"/>
      <c r="Q50" s="333"/>
      <c r="R50" s="333"/>
      <c r="S50" s="333"/>
      <c r="T50" s="333"/>
      <c r="U50" s="333"/>
      <c r="V50" s="333"/>
      <c r="W50" s="333"/>
      <c r="X50" s="333"/>
      <c r="Y50" s="333"/>
      <c r="Z50" s="333"/>
      <c r="AA50" s="333"/>
      <c r="AB50" s="333"/>
      <c r="AC50" s="333"/>
      <c r="AD50" s="333"/>
      <c r="AE50" s="333"/>
      <c r="AF50" s="333"/>
      <c r="AG50" s="333"/>
    </row>
    <row r="51" spans="2:34" s="325" customFormat="1">
      <c r="C51" s="325" t="s">
        <v>210</v>
      </c>
      <c r="E51" s="333"/>
      <c r="F51" s="354">
        <f>F48+F49</f>
        <v>1493</v>
      </c>
      <c r="G51" s="354">
        <f t="shared" ref="G51:AG51" si="17">G48+G49</f>
        <v>297</v>
      </c>
      <c r="H51" s="354">
        <f t="shared" si="17"/>
        <v>363</v>
      </c>
      <c r="I51" s="354">
        <f t="shared" si="17"/>
        <v>366</v>
      </c>
      <c r="J51" s="354">
        <f t="shared" si="17"/>
        <v>1715</v>
      </c>
      <c r="K51" s="354">
        <f t="shared" si="17"/>
        <v>277</v>
      </c>
      <c r="L51" s="354">
        <f t="shared" si="17"/>
        <v>258</v>
      </c>
      <c r="M51" s="354">
        <f t="shared" si="17"/>
        <v>276</v>
      </c>
      <c r="N51" s="354">
        <f t="shared" si="17"/>
        <v>1596</v>
      </c>
      <c r="O51" s="354">
        <f t="shared" si="17"/>
        <v>275</v>
      </c>
      <c r="P51" s="354">
        <f t="shared" si="17"/>
        <v>270</v>
      </c>
      <c r="Q51" s="354">
        <f t="shared" si="17"/>
        <v>218</v>
      </c>
      <c r="R51" s="354">
        <f t="shared" si="17"/>
        <v>1688</v>
      </c>
      <c r="S51" s="354">
        <f t="shared" si="17"/>
        <v>134</v>
      </c>
      <c r="T51" s="354">
        <f t="shared" si="17"/>
        <v>203</v>
      </c>
      <c r="U51" s="354">
        <f t="shared" si="17"/>
        <v>183</v>
      </c>
      <c r="V51" s="354">
        <f t="shared" si="17"/>
        <v>1680</v>
      </c>
      <c r="W51" s="354">
        <f t="shared" si="17"/>
        <v>248</v>
      </c>
      <c r="X51" s="354">
        <f t="shared" si="17"/>
        <v>244</v>
      </c>
      <c r="Y51" s="354">
        <f t="shared" si="17"/>
        <v>324</v>
      </c>
      <c r="Z51" s="354">
        <f t="shared" si="17"/>
        <v>1451</v>
      </c>
      <c r="AA51" s="354">
        <f t="shared" si="17"/>
        <v>150</v>
      </c>
      <c r="AB51" s="354">
        <f t="shared" si="17"/>
        <v>201</v>
      </c>
      <c r="AC51" s="354">
        <f t="shared" si="17"/>
        <v>752</v>
      </c>
      <c r="AD51" s="354">
        <f t="shared" si="17"/>
        <v>1229</v>
      </c>
      <c r="AE51" s="354">
        <f t="shared" si="17"/>
        <v>232</v>
      </c>
      <c r="AF51" s="354">
        <f t="shared" si="17"/>
        <v>276</v>
      </c>
      <c r="AG51" s="354">
        <f t="shared" si="17"/>
        <v>500</v>
      </c>
    </row>
    <row r="52" spans="2:34" s="325" customFormat="1">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row>
    <row r="53" spans="2:34" s="325" customFormat="1" ht="13.5">
      <c r="C53" s="325" t="s">
        <v>315</v>
      </c>
      <c r="D53" s="416"/>
      <c r="E53" s="333"/>
      <c r="F53" s="428">
        <v>142</v>
      </c>
      <c r="G53" s="428">
        <v>36</v>
      </c>
      <c r="H53" s="341">
        <v>67</v>
      </c>
      <c r="I53" s="428">
        <v>33</v>
      </c>
      <c r="J53" s="341">
        <v>122</v>
      </c>
      <c r="K53" s="341">
        <v>45</v>
      </c>
      <c r="L53" s="341">
        <v>44</v>
      </c>
      <c r="M53" s="341">
        <v>26</v>
      </c>
      <c r="N53" s="428">
        <v>102</v>
      </c>
      <c r="O53" s="341">
        <v>34</v>
      </c>
      <c r="P53" s="341">
        <v>32</v>
      </c>
      <c r="Q53" s="341">
        <v>22</v>
      </c>
      <c r="R53" s="341">
        <v>168</v>
      </c>
      <c r="S53" s="341">
        <v>113</v>
      </c>
      <c r="T53" s="341">
        <v>140</v>
      </c>
      <c r="U53" s="341">
        <v>62</v>
      </c>
      <c r="V53" s="341">
        <v>382</v>
      </c>
      <c r="W53" s="341">
        <v>156</v>
      </c>
      <c r="X53" s="341">
        <v>90</v>
      </c>
      <c r="Y53" s="341">
        <v>55</v>
      </c>
      <c r="Z53" s="341">
        <v>329</v>
      </c>
      <c r="AA53" s="341">
        <v>83</v>
      </c>
      <c r="AB53" s="341">
        <v>59</v>
      </c>
      <c r="AC53" s="341">
        <v>35</v>
      </c>
      <c r="AD53" s="341">
        <v>269</v>
      </c>
      <c r="AE53" s="341">
        <v>87</v>
      </c>
      <c r="AF53" s="341">
        <v>80</v>
      </c>
      <c r="AG53" s="341">
        <v>137</v>
      </c>
    </row>
    <row r="54" spans="2:34" s="325" customFormat="1">
      <c r="C54" s="325" t="s">
        <v>102</v>
      </c>
      <c r="E54" s="333"/>
      <c r="F54" s="354">
        <f t="shared" ref="F54:AF54" si="18">F45+F46+F51+F53</f>
        <v>2172</v>
      </c>
      <c r="G54" s="354">
        <f t="shared" si="18"/>
        <v>639</v>
      </c>
      <c r="H54" s="354">
        <f t="shared" si="18"/>
        <v>738</v>
      </c>
      <c r="I54" s="354">
        <f t="shared" si="18"/>
        <v>701</v>
      </c>
      <c r="J54" s="354">
        <f t="shared" si="18"/>
        <v>2274</v>
      </c>
      <c r="K54" s="354">
        <f t="shared" si="18"/>
        <v>643</v>
      </c>
      <c r="L54" s="354">
        <f t="shared" si="18"/>
        <v>632</v>
      </c>
      <c r="M54" s="354">
        <f t="shared" si="18"/>
        <v>795</v>
      </c>
      <c r="N54" s="354">
        <f t="shared" si="18"/>
        <v>2355</v>
      </c>
      <c r="O54" s="354">
        <f t="shared" si="18"/>
        <v>680</v>
      </c>
      <c r="P54" s="354">
        <f t="shared" si="18"/>
        <v>636</v>
      </c>
      <c r="Q54" s="354">
        <f t="shared" si="18"/>
        <v>550</v>
      </c>
      <c r="R54" s="354">
        <f t="shared" si="18"/>
        <v>2205</v>
      </c>
      <c r="S54" s="354">
        <f t="shared" si="18"/>
        <v>522</v>
      </c>
      <c r="T54" s="354">
        <f t="shared" si="18"/>
        <v>1007</v>
      </c>
      <c r="U54" s="354">
        <f t="shared" si="18"/>
        <v>697</v>
      </c>
      <c r="V54" s="354">
        <f t="shared" si="18"/>
        <v>2455</v>
      </c>
      <c r="W54" s="354">
        <f t="shared" si="18"/>
        <v>753</v>
      </c>
      <c r="X54" s="354">
        <f t="shared" si="18"/>
        <v>571</v>
      </c>
      <c r="Y54" s="354">
        <f t="shared" si="18"/>
        <v>601</v>
      </c>
      <c r="Z54" s="354">
        <f t="shared" si="18"/>
        <v>2092</v>
      </c>
      <c r="AA54" s="354">
        <f t="shared" si="18"/>
        <v>699</v>
      </c>
      <c r="AB54" s="354">
        <f t="shared" si="18"/>
        <v>592</v>
      </c>
      <c r="AC54" s="354">
        <f t="shared" si="18"/>
        <v>1092</v>
      </c>
      <c r="AD54" s="354">
        <f t="shared" si="18"/>
        <v>2023</v>
      </c>
      <c r="AE54" s="354">
        <f t="shared" si="18"/>
        <v>655</v>
      </c>
      <c r="AF54" s="354">
        <f t="shared" si="18"/>
        <v>698</v>
      </c>
      <c r="AG54" s="354">
        <f>AG45+AG46+AG51+AG53</f>
        <v>960</v>
      </c>
    </row>
    <row r="55" spans="2:34" s="325" customFormat="1">
      <c r="E55" s="333"/>
      <c r="F55" s="342"/>
      <c r="G55" s="342"/>
      <c r="H55" s="333"/>
      <c r="I55" s="333"/>
      <c r="J55" s="429"/>
      <c r="K55" s="424"/>
      <c r="L55" s="424"/>
      <c r="M55" s="342"/>
      <c r="N55" s="333"/>
      <c r="O55" s="333"/>
      <c r="P55" s="333"/>
      <c r="Q55" s="333"/>
      <c r="R55" s="333"/>
      <c r="S55" s="333"/>
      <c r="T55" s="333"/>
      <c r="U55" s="333"/>
      <c r="V55" s="333"/>
      <c r="W55" s="333"/>
      <c r="X55" s="333"/>
      <c r="Y55" s="333"/>
      <c r="Z55" s="333"/>
      <c r="AA55" s="333"/>
      <c r="AB55" s="333"/>
      <c r="AC55" s="333"/>
      <c r="AD55" s="333"/>
      <c r="AE55" s="333"/>
      <c r="AF55" s="333"/>
      <c r="AG55" s="333"/>
    </row>
    <row r="56" spans="2:34" s="325" customFormat="1">
      <c r="C56" s="325" t="s">
        <v>99</v>
      </c>
      <c r="E56" s="333"/>
      <c r="F56" s="342">
        <v>171</v>
      </c>
      <c r="G56" s="342">
        <v>85</v>
      </c>
      <c r="H56" s="335">
        <v>63</v>
      </c>
      <c r="I56" s="335">
        <v>54</v>
      </c>
      <c r="J56" s="429">
        <v>221</v>
      </c>
      <c r="K56" s="425">
        <v>71</v>
      </c>
      <c r="L56" s="425">
        <v>51</v>
      </c>
      <c r="M56" s="342">
        <v>62</v>
      </c>
      <c r="N56" s="335">
        <v>193</v>
      </c>
      <c r="O56" s="335">
        <v>75</v>
      </c>
      <c r="P56" s="335">
        <v>63</v>
      </c>
      <c r="Q56" s="335">
        <v>77</v>
      </c>
      <c r="R56" s="335">
        <v>203</v>
      </c>
      <c r="S56" s="335">
        <v>65</v>
      </c>
      <c r="T56" s="335">
        <v>47</v>
      </c>
      <c r="U56" s="335">
        <v>54</v>
      </c>
      <c r="V56" s="335">
        <v>140</v>
      </c>
      <c r="W56" s="335">
        <v>51</v>
      </c>
      <c r="X56" s="335">
        <v>37</v>
      </c>
      <c r="Y56" s="335">
        <v>56</v>
      </c>
      <c r="Z56" s="335">
        <v>180</v>
      </c>
      <c r="AA56" s="335">
        <v>73</v>
      </c>
      <c r="AB56" s="335">
        <v>66</v>
      </c>
      <c r="AC56" s="335">
        <v>78</v>
      </c>
      <c r="AD56" s="335">
        <v>190</v>
      </c>
      <c r="AE56" s="335">
        <v>48</v>
      </c>
      <c r="AF56" s="335">
        <v>61</v>
      </c>
      <c r="AG56" s="335">
        <v>80</v>
      </c>
    </row>
    <row r="57" spans="2:34" s="325" customFormat="1" ht="14.25" thickBot="1">
      <c r="C57" s="325" t="s">
        <v>188</v>
      </c>
      <c r="E57" s="379"/>
      <c r="F57" s="427">
        <f>F54+F56</f>
        <v>2343</v>
      </c>
      <c r="G57" s="339">
        <f t="shared" ref="G57:AA57" si="19">G54+G56</f>
        <v>724</v>
      </c>
      <c r="H57" s="339">
        <f t="shared" si="19"/>
        <v>801</v>
      </c>
      <c r="I57" s="339">
        <f t="shared" si="19"/>
        <v>755</v>
      </c>
      <c r="J57" s="461">
        <f t="shared" si="19"/>
        <v>2495</v>
      </c>
      <c r="K57" s="461">
        <f t="shared" si="19"/>
        <v>714</v>
      </c>
      <c r="L57" s="461">
        <f t="shared" si="19"/>
        <v>683</v>
      </c>
      <c r="M57" s="377">
        <f t="shared" si="19"/>
        <v>857</v>
      </c>
      <c r="N57" s="377">
        <f t="shared" si="19"/>
        <v>2548</v>
      </c>
      <c r="O57" s="377">
        <f t="shared" si="19"/>
        <v>755</v>
      </c>
      <c r="P57" s="377">
        <f t="shared" si="19"/>
        <v>699</v>
      </c>
      <c r="Q57" s="377">
        <f t="shared" si="19"/>
        <v>627</v>
      </c>
      <c r="R57" s="377">
        <f t="shared" si="19"/>
        <v>2408</v>
      </c>
      <c r="S57" s="461">
        <f t="shared" si="19"/>
        <v>587</v>
      </c>
      <c r="T57" s="377">
        <f t="shared" si="19"/>
        <v>1054</v>
      </c>
      <c r="U57" s="377">
        <f t="shared" si="19"/>
        <v>751</v>
      </c>
      <c r="V57" s="377">
        <f t="shared" si="19"/>
        <v>2595</v>
      </c>
      <c r="W57" s="377">
        <f t="shared" si="19"/>
        <v>804</v>
      </c>
      <c r="X57" s="377">
        <f t="shared" si="19"/>
        <v>608</v>
      </c>
      <c r="Y57" s="377">
        <f t="shared" si="19"/>
        <v>657</v>
      </c>
      <c r="Z57" s="377">
        <f t="shared" si="19"/>
        <v>2272</v>
      </c>
      <c r="AA57" s="377">
        <f t="shared" si="19"/>
        <v>772</v>
      </c>
      <c r="AB57" s="377">
        <f t="shared" ref="AB57:AC57" si="20">AB54+AB56</f>
        <v>658</v>
      </c>
      <c r="AC57" s="377">
        <f t="shared" si="20"/>
        <v>1170</v>
      </c>
      <c r="AD57" s="377">
        <f t="shared" ref="AD57:AE57" si="21">AD54+AD56</f>
        <v>2213</v>
      </c>
      <c r="AE57" s="377">
        <f t="shared" si="21"/>
        <v>703</v>
      </c>
      <c r="AF57" s="377">
        <f t="shared" ref="AF57" si="22">AF54+AF56</f>
        <v>759</v>
      </c>
      <c r="AG57" s="377">
        <f>AG54+AG56</f>
        <v>1040</v>
      </c>
    </row>
    <row r="58" spans="2:34" s="325" customFormat="1">
      <c r="E58" s="348"/>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row>
    <row r="59" spans="2:34">
      <c r="B59" s="325"/>
      <c r="C59" s="325"/>
      <c r="D59" s="325"/>
      <c r="E59" s="356"/>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row>
    <row r="60" spans="2:34" ht="13.5" customHeight="1">
      <c r="B60" s="325"/>
      <c r="C60" s="615" t="s">
        <v>338</v>
      </c>
      <c r="D60" s="615"/>
      <c r="E60" s="615"/>
      <c r="F60" s="615"/>
      <c r="G60" s="615"/>
      <c r="H60" s="615"/>
      <c r="I60" s="615"/>
      <c r="J60" s="615"/>
      <c r="K60" s="615"/>
      <c r="L60" s="615"/>
      <c r="M60" s="615"/>
      <c r="N60" s="615"/>
      <c r="O60" s="615"/>
      <c r="P60" s="615"/>
      <c r="Q60" s="615"/>
      <c r="R60" s="615"/>
      <c r="S60" s="615"/>
      <c r="T60" s="615"/>
      <c r="U60" s="615"/>
      <c r="V60" s="615"/>
      <c r="W60" s="615"/>
      <c r="X60" s="615"/>
      <c r="Y60" s="615"/>
      <c r="Z60" s="615"/>
      <c r="AA60" s="615"/>
      <c r="AB60" s="615"/>
      <c r="AC60" s="615"/>
      <c r="AD60" s="615"/>
      <c r="AE60" s="615"/>
      <c r="AF60" s="615"/>
      <c r="AG60" s="615"/>
      <c r="AH60" s="615"/>
    </row>
    <row r="61" spans="2:34" ht="13.5">
      <c r="B61" s="325"/>
      <c r="C61" s="357" t="s">
        <v>189</v>
      </c>
      <c r="D61" s="325"/>
      <c r="E61" s="356"/>
      <c r="F61" s="325"/>
      <c r="G61" s="325"/>
    </row>
    <row r="62" spans="2:34" s="415" customFormat="1" ht="13.5">
      <c r="B62" s="416"/>
      <c r="C62" s="594" t="s">
        <v>349</v>
      </c>
      <c r="D62" s="416"/>
      <c r="E62" s="595"/>
      <c r="F62" s="416"/>
      <c r="G62" s="416"/>
    </row>
    <row r="63" spans="2:34" s="415" customFormat="1">
      <c r="B63" s="416"/>
      <c r="C63" s="416" t="s">
        <v>350</v>
      </c>
      <c r="D63" s="416"/>
      <c r="E63" s="595"/>
      <c r="F63" s="416"/>
      <c r="G63" s="416"/>
    </row>
    <row r="64" spans="2:34" ht="13.5">
      <c r="B64" s="325"/>
      <c r="C64" s="357" t="s">
        <v>340</v>
      </c>
      <c r="D64" s="325"/>
      <c r="E64" s="356"/>
      <c r="F64" s="325"/>
      <c r="G64" s="325"/>
    </row>
    <row r="65" spans="2:7">
      <c r="B65" s="325"/>
      <c r="C65" s="325" t="s">
        <v>269</v>
      </c>
      <c r="D65" s="325"/>
      <c r="E65" s="356"/>
      <c r="F65" s="325"/>
      <c r="G65" s="325"/>
    </row>
    <row r="66" spans="2:7">
      <c r="B66" s="325"/>
      <c r="C66" s="325" t="s">
        <v>270</v>
      </c>
      <c r="D66" s="325"/>
      <c r="E66" s="356"/>
      <c r="F66" s="325"/>
      <c r="G66" s="325"/>
    </row>
    <row r="67" spans="2:7">
      <c r="B67" s="325"/>
      <c r="C67" s="324" t="s">
        <v>351</v>
      </c>
    </row>
    <row r="68" spans="2:7">
      <c r="B68" s="325"/>
      <c r="C68" s="324" t="s">
        <v>352</v>
      </c>
    </row>
    <row r="69" spans="2:7">
      <c r="B69" s="325"/>
      <c r="C69" s="324" t="s">
        <v>353</v>
      </c>
    </row>
    <row r="70" spans="2:7">
      <c r="B70" s="325"/>
      <c r="C70" s="325" t="s">
        <v>232</v>
      </c>
      <c r="D70" s="325"/>
      <c r="E70" s="356"/>
      <c r="F70" s="325"/>
      <c r="G70" s="325"/>
    </row>
    <row r="71" spans="2:7" ht="13.5">
      <c r="B71" s="325"/>
      <c r="C71" s="491" t="s">
        <v>348</v>
      </c>
      <c r="D71" s="325"/>
      <c r="E71" s="356"/>
      <c r="F71" s="325"/>
      <c r="G71" s="325"/>
    </row>
    <row r="72" spans="2:7">
      <c r="B72" s="325"/>
      <c r="C72" s="325"/>
      <c r="D72" s="325"/>
      <c r="E72" s="356"/>
      <c r="F72" s="325"/>
      <c r="G72" s="325"/>
    </row>
    <row r="73" spans="2:7">
      <c r="B73" s="325"/>
      <c r="C73" s="325"/>
      <c r="D73" s="325"/>
      <c r="E73" s="356"/>
      <c r="F73" s="325"/>
      <c r="G73" s="325"/>
    </row>
    <row r="74" spans="2:7">
      <c r="B74" s="325"/>
      <c r="C74" s="325"/>
      <c r="D74" s="325"/>
      <c r="E74" s="356"/>
      <c r="F74" s="325"/>
      <c r="G74" s="325"/>
    </row>
    <row r="75" spans="2:7">
      <c r="B75" s="338"/>
      <c r="C75" s="350"/>
      <c r="D75" s="350"/>
      <c r="E75" s="356"/>
      <c r="F75" s="325"/>
      <c r="G75" s="325"/>
    </row>
    <row r="76" spans="2:7">
      <c r="B76" s="325"/>
      <c r="C76" s="325"/>
      <c r="D76" s="325"/>
      <c r="E76" s="356"/>
      <c r="F76" s="325"/>
      <c r="G76" s="325"/>
    </row>
    <row r="77" spans="2:7">
      <c r="B77" s="325"/>
      <c r="C77" s="325"/>
      <c r="D77" s="325"/>
      <c r="E77" s="356"/>
      <c r="F77" s="325"/>
      <c r="G77" s="325"/>
    </row>
    <row r="78" spans="2:7">
      <c r="B78" s="325"/>
      <c r="C78" s="325"/>
      <c r="D78" s="325"/>
      <c r="E78" s="356"/>
      <c r="F78" s="325"/>
      <c r="G78" s="325"/>
    </row>
    <row r="79" spans="2:7">
      <c r="B79" s="325"/>
      <c r="C79" s="325"/>
      <c r="D79" s="325"/>
      <c r="E79" s="356"/>
      <c r="F79" s="325"/>
      <c r="G79" s="325"/>
    </row>
    <row r="80" spans="2:7">
      <c r="B80" s="325"/>
      <c r="C80" s="325"/>
      <c r="D80" s="325"/>
      <c r="E80" s="356"/>
      <c r="F80" s="325"/>
      <c r="G80" s="325"/>
    </row>
    <row r="81" spans="2:7">
      <c r="B81" s="325"/>
      <c r="C81" s="325"/>
      <c r="D81" s="325"/>
      <c r="E81" s="356"/>
      <c r="F81" s="325"/>
      <c r="G81" s="325"/>
    </row>
    <row r="82" spans="2:7">
      <c r="B82" s="325"/>
      <c r="C82" s="325"/>
      <c r="D82" s="325"/>
      <c r="E82" s="356"/>
      <c r="F82" s="325"/>
      <c r="G82" s="325"/>
    </row>
    <row r="83" spans="2:7">
      <c r="B83" s="325"/>
      <c r="C83" s="325"/>
      <c r="D83" s="325"/>
      <c r="E83" s="356"/>
      <c r="F83" s="325"/>
      <c r="G83" s="325"/>
    </row>
    <row r="84" spans="2:7">
      <c r="B84" s="325"/>
      <c r="C84" s="325"/>
      <c r="D84" s="325"/>
      <c r="E84" s="356"/>
      <c r="F84" s="325"/>
      <c r="G84" s="325"/>
    </row>
    <row r="85" spans="2:7">
      <c r="B85" s="325"/>
      <c r="C85" s="325"/>
      <c r="D85" s="325"/>
      <c r="E85" s="356"/>
      <c r="F85" s="325"/>
      <c r="G85" s="325"/>
    </row>
    <row r="86" spans="2:7">
      <c r="B86" s="325"/>
      <c r="C86" s="325"/>
      <c r="D86" s="325"/>
      <c r="E86" s="356"/>
      <c r="F86" s="325"/>
      <c r="G86" s="325"/>
    </row>
    <row r="87" spans="2:7">
      <c r="B87" s="325"/>
      <c r="C87" s="325"/>
      <c r="D87" s="325"/>
      <c r="E87" s="356"/>
      <c r="F87" s="325"/>
      <c r="G87" s="325"/>
    </row>
    <row r="88" spans="2:7">
      <c r="B88" s="325"/>
      <c r="C88" s="325"/>
      <c r="D88" s="325"/>
      <c r="E88" s="356"/>
      <c r="F88" s="325"/>
      <c r="G88" s="325"/>
    </row>
    <row r="89" spans="2:7">
      <c r="B89" s="325"/>
      <c r="C89" s="325"/>
      <c r="D89" s="325"/>
      <c r="E89" s="356"/>
      <c r="F89" s="325"/>
      <c r="G89" s="325"/>
    </row>
    <row r="90" spans="2:7">
      <c r="B90" s="325"/>
      <c r="C90" s="325"/>
      <c r="D90" s="325"/>
      <c r="E90" s="356"/>
      <c r="F90" s="325"/>
      <c r="G90" s="325"/>
    </row>
    <row r="91" spans="2:7">
      <c r="B91" s="325"/>
      <c r="C91" s="325"/>
      <c r="D91" s="325"/>
      <c r="E91" s="356"/>
      <c r="F91" s="325"/>
      <c r="G91" s="325"/>
    </row>
    <row r="92" spans="2:7">
      <c r="B92" s="325"/>
      <c r="C92" s="325"/>
      <c r="D92" s="325"/>
      <c r="E92" s="356"/>
      <c r="F92" s="325"/>
      <c r="G92" s="325"/>
    </row>
  </sheetData>
  <mergeCells count="3">
    <mergeCell ref="B1:AH1"/>
    <mergeCell ref="B2:AH2"/>
    <mergeCell ref="B3:AH3"/>
  </mergeCells>
  <pageMargins left="0.7" right="0.7" top="0.25" bottom="0.44" header="0.3" footer="0.3"/>
  <pageSetup scale="37" orientation="landscape" r:id="rId1"/>
  <headerFooter>
    <oddFooter>&amp;LActivision Blizzard, Inc.&amp;R&amp;P of &amp; 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I34"/>
  <sheetViews>
    <sheetView zoomScaleNormal="100" zoomScaleSheetLayoutView="90" workbookViewId="0">
      <pane xSplit="2" ySplit="7" topLeftCell="X8" activePane="bottomRight" state="frozen"/>
      <selection sqref="A1:AE1"/>
      <selection pane="topRight" sqref="A1:AE1"/>
      <selection pane="bottomLeft" sqref="A1:AE1"/>
      <selection pane="bottomRight" activeCell="AF18" sqref="AF18"/>
    </sheetView>
  </sheetViews>
  <sheetFormatPr defaultColWidth="9.140625" defaultRowHeight="12"/>
  <cols>
    <col min="1" max="1" width="2.85546875" style="68" customWidth="1"/>
    <col min="2" max="2" width="45.7109375" style="370" customWidth="1"/>
    <col min="3" max="7" width="9.7109375" style="370" customWidth="1"/>
    <col min="8" max="30" width="9.7109375" style="68" customWidth="1"/>
    <col min="31" max="31" width="1.7109375" style="68" customWidth="1"/>
    <col min="32" max="16384" width="9.140625" style="68"/>
  </cols>
  <sheetData>
    <row r="1" spans="1:33" ht="15" customHeight="1">
      <c r="A1" s="691" t="s">
        <v>155</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row>
    <row r="2" spans="1:33" ht="15" customHeight="1">
      <c r="A2" s="691" t="s">
        <v>249</v>
      </c>
      <c r="B2" s="691"/>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row>
    <row r="3" spans="1:33" ht="15" customHeight="1">
      <c r="A3" s="691" t="s">
        <v>74</v>
      </c>
      <c r="B3" s="691"/>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row>
    <row r="5" spans="1:33">
      <c r="D5" s="68"/>
      <c r="E5" s="68"/>
      <c r="F5" s="68"/>
      <c r="G5" s="68"/>
    </row>
    <row r="6" spans="1:33" ht="15.75" customHeight="1">
      <c r="B6" s="371"/>
      <c r="C6" s="329" t="s">
        <v>6</v>
      </c>
      <c r="D6" s="329" t="s">
        <v>3</v>
      </c>
      <c r="E6" s="329" t="s">
        <v>4</v>
      </c>
      <c r="F6" s="329" t="s">
        <v>5</v>
      </c>
      <c r="G6" s="329" t="s">
        <v>6</v>
      </c>
      <c r="H6" s="329" t="s">
        <v>3</v>
      </c>
      <c r="I6" s="329" t="s">
        <v>4</v>
      </c>
      <c r="J6" s="329" t="s">
        <v>5</v>
      </c>
      <c r="K6" s="329" t="s">
        <v>6</v>
      </c>
      <c r="L6" s="329" t="s">
        <v>3</v>
      </c>
      <c r="M6" s="329" t="s">
        <v>4</v>
      </c>
      <c r="N6" s="329" t="s">
        <v>5</v>
      </c>
      <c r="O6" s="329" t="s">
        <v>6</v>
      </c>
      <c r="P6" s="329" t="s">
        <v>3</v>
      </c>
      <c r="Q6" s="329" t="s">
        <v>4</v>
      </c>
      <c r="R6" s="329" t="s">
        <v>5</v>
      </c>
      <c r="S6" s="329" t="s">
        <v>6</v>
      </c>
      <c r="T6" s="329" t="s">
        <v>3</v>
      </c>
      <c r="U6" s="329" t="s">
        <v>4</v>
      </c>
      <c r="V6" s="329" t="s">
        <v>5</v>
      </c>
      <c r="W6" s="329" t="s">
        <v>6</v>
      </c>
      <c r="X6" s="329" t="s">
        <v>3</v>
      </c>
      <c r="Y6" s="329" t="s">
        <v>4</v>
      </c>
      <c r="Z6" s="329" t="s">
        <v>5</v>
      </c>
      <c r="AA6" s="329" t="s">
        <v>6</v>
      </c>
      <c r="AB6" s="329" t="s">
        <v>3</v>
      </c>
      <c r="AC6" s="329" t="s">
        <v>4</v>
      </c>
      <c r="AD6" s="329" t="s">
        <v>5</v>
      </c>
    </row>
    <row r="7" spans="1:33" ht="12.75" thickBot="1">
      <c r="B7" s="371"/>
      <c r="C7" s="329" t="s">
        <v>43</v>
      </c>
      <c r="D7" s="329" t="s">
        <v>44</v>
      </c>
      <c r="E7" s="329" t="s">
        <v>44</v>
      </c>
      <c r="F7" s="329" t="s">
        <v>44</v>
      </c>
      <c r="G7" s="329" t="s">
        <v>44</v>
      </c>
      <c r="H7" s="329" t="s">
        <v>45</v>
      </c>
      <c r="I7" s="329" t="s">
        <v>45</v>
      </c>
      <c r="J7" s="329" t="s">
        <v>45</v>
      </c>
      <c r="K7" s="329" t="s">
        <v>45</v>
      </c>
      <c r="L7" s="329" t="s">
        <v>46</v>
      </c>
      <c r="M7" s="329" t="s">
        <v>46</v>
      </c>
      <c r="N7" s="329" t="s">
        <v>46</v>
      </c>
      <c r="O7" s="329" t="s">
        <v>46</v>
      </c>
      <c r="P7" s="329" t="s">
        <v>237</v>
      </c>
      <c r="Q7" s="329" t="s">
        <v>237</v>
      </c>
      <c r="R7" s="329" t="s">
        <v>237</v>
      </c>
      <c r="S7" s="329" t="s">
        <v>237</v>
      </c>
      <c r="T7" s="329" t="s">
        <v>264</v>
      </c>
      <c r="U7" s="329" t="s">
        <v>264</v>
      </c>
      <c r="V7" s="329" t="s">
        <v>264</v>
      </c>
      <c r="W7" s="329" t="s">
        <v>264</v>
      </c>
      <c r="X7" s="329" t="s">
        <v>307</v>
      </c>
      <c r="Y7" s="329" t="s">
        <v>307</v>
      </c>
      <c r="Z7" s="329" t="s">
        <v>307</v>
      </c>
      <c r="AA7" s="329" t="s">
        <v>307</v>
      </c>
      <c r="AB7" s="329" t="s">
        <v>332</v>
      </c>
      <c r="AC7" s="329" t="s">
        <v>332</v>
      </c>
      <c r="AD7" s="329" t="s">
        <v>332</v>
      </c>
    </row>
    <row r="8" spans="1:33">
      <c r="B8" s="372" t="s">
        <v>196</v>
      </c>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row>
    <row r="9" spans="1:33">
      <c r="B9" s="374" t="s">
        <v>190</v>
      </c>
      <c r="C9" s="380">
        <v>1151</v>
      </c>
      <c r="D9" s="380">
        <v>596</v>
      </c>
      <c r="E9" s="380">
        <v>676</v>
      </c>
      <c r="F9" s="380">
        <v>351</v>
      </c>
      <c r="G9" s="380">
        <v>1000</v>
      </c>
      <c r="H9" s="380">
        <v>906</v>
      </c>
      <c r="I9" s="380">
        <v>584</v>
      </c>
      <c r="J9" s="380">
        <v>320</v>
      </c>
      <c r="K9" s="380">
        <v>820</v>
      </c>
      <c r="L9" s="380">
        <v>946</v>
      </c>
      <c r="M9" s="380">
        <v>660</v>
      </c>
      <c r="N9" s="380">
        <v>250</v>
      </c>
      <c r="O9" s="380">
        <v>841</v>
      </c>
      <c r="P9" s="380">
        <v>793</v>
      </c>
      <c r="Q9" s="380">
        <v>685</v>
      </c>
      <c r="R9" s="380">
        <v>357</v>
      </c>
      <c r="S9" s="380">
        <v>1177</v>
      </c>
      <c r="T9" s="380">
        <v>896</v>
      </c>
      <c r="U9" s="380">
        <v>626</v>
      </c>
      <c r="V9" s="380">
        <v>226</v>
      </c>
      <c r="W9" s="380">
        <v>953</v>
      </c>
      <c r="X9" s="380">
        <v>659</v>
      </c>
      <c r="Y9" s="380">
        <v>428</v>
      </c>
      <c r="Z9" s="380">
        <v>171</v>
      </c>
      <c r="AA9" s="380">
        <v>846</v>
      </c>
      <c r="AB9" s="380">
        <v>649</v>
      </c>
      <c r="AC9" s="380">
        <v>414</v>
      </c>
      <c r="AD9" s="380">
        <v>281</v>
      </c>
    </row>
    <row r="10" spans="1:33">
      <c r="B10" s="374" t="s">
        <v>191</v>
      </c>
      <c r="C10" s="481">
        <v>316</v>
      </c>
      <c r="D10" s="481">
        <v>300</v>
      </c>
      <c r="E10" s="481">
        <v>299</v>
      </c>
      <c r="F10" s="481">
        <v>298</v>
      </c>
      <c r="G10" s="481">
        <v>336</v>
      </c>
      <c r="H10" s="481">
        <v>331</v>
      </c>
      <c r="I10" s="481">
        <v>332</v>
      </c>
      <c r="J10" s="481">
        <v>363</v>
      </c>
      <c r="K10" s="481">
        <v>414</v>
      </c>
      <c r="L10" s="481">
        <v>428</v>
      </c>
      <c r="M10" s="481">
        <v>423</v>
      </c>
      <c r="N10" s="481">
        <v>427</v>
      </c>
      <c r="O10" s="481">
        <v>363</v>
      </c>
      <c r="P10" s="481">
        <v>314</v>
      </c>
      <c r="Q10" s="481">
        <v>343</v>
      </c>
      <c r="R10" s="481">
        <v>430</v>
      </c>
      <c r="S10" s="481">
        <v>451</v>
      </c>
      <c r="T10" s="481">
        <v>377</v>
      </c>
      <c r="U10" s="481">
        <v>387</v>
      </c>
      <c r="V10" s="481">
        <v>409</v>
      </c>
      <c r="W10" s="481">
        <v>385</v>
      </c>
      <c r="X10" s="481">
        <v>379</v>
      </c>
      <c r="Y10" s="481">
        <v>476</v>
      </c>
      <c r="Z10" s="481">
        <v>504</v>
      </c>
      <c r="AA10" s="481">
        <v>539</v>
      </c>
      <c r="AB10" s="481">
        <v>581</v>
      </c>
      <c r="AC10" s="481">
        <v>569</v>
      </c>
      <c r="AD10" s="481">
        <v>629</v>
      </c>
      <c r="AE10" s="492"/>
    </row>
    <row r="11" spans="1:33">
      <c r="B11" s="374" t="s">
        <v>102</v>
      </c>
      <c r="C11" s="381">
        <f>+C10+C9</f>
        <v>1467</v>
      </c>
      <c r="D11" s="381">
        <f t="shared" ref="D11:G11" si="0">+D10+D9</f>
        <v>896</v>
      </c>
      <c r="E11" s="381">
        <f t="shared" si="0"/>
        <v>975</v>
      </c>
      <c r="F11" s="381">
        <f t="shared" si="0"/>
        <v>649</v>
      </c>
      <c r="G11" s="381">
        <f t="shared" si="0"/>
        <v>1336</v>
      </c>
      <c r="H11" s="381">
        <f t="shared" ref="H11:N11" si="1">+H10+H9</f>
        <v>1237</v>
      </c>
      <c r="I11" s="381">
        <f t="shared" si="1"/>
        <v>916</v>
      </c>
      <c r="J11" s="381">
        <f t="shared" si="1"/>
        <v>683</v>
      </c>
      <c r="K11" s="381">
        <f t="shared" si="1"/>
        <v>1234</v>
      </c>
      <c r="L11" s="381">
        <f t="shared" si="1"/>
        <v>1374</v>
      </c>
      <c r="M11" s="381">
        <f t="shared" si="1"/>
        <v>1083</v>
      </c>
      <c r="N11" s="381">
        <f t="shared" si="1"/>
        <v>677</v>
      </c>
      <c r="O11" s="381">
        <f t="shared" ref="O11:P11" si="2">+O10+O9</f>
        <v>1204</v>
      </c>
      <c r="P11" s="381">
        <f t="shared" si="2"/>
        <v>1107</v>
      </c>
      <c r="Q11" s="381">
        <f t="shared" ref="Q11:R11" si="3">+Q10+Q9</f>
        <v>1028</v>
      </c>
      <c r="R11" s="381">
        <f t="shared" si="3"/>
        <v>787</v>
      </c>
      <c r="S11" s="381">
        <f t="shared" ref="S11:T11" si="4">+S10+S9</f>
        <v>1628</v>
      </c>
      <c r="T11" s="381">
        <f t="shared" si="4"/>
        <v>1273</v>
      </c>
      <c r="U11" s="381">
        <f t="shared" ref="U11:V11" si="5">+U10+U9</f>
        <v>1013</v>
      </c>
      <c r="V11" s="381">
        <f t="shared" si="5"/>
        <v>635</v>
      </c>
      <c r="W11" s="381">
        <f t="shared" ref="W11:X11" si="6">+W10+W9</f>
        <v>1338</v>
      </c>
      <c r="X11" s="381">
        <f t="shared" si="6"/>
        <v>1038</v>
      </c>
      <c r="Y11" s="381">
        <f t="shared" ref="Y11:Z11" si="7">+Y10+Y9</f>
        <v>904</v>
      </c>
      <c r="Z11" s="381">
        <f t="shared" si="7"/>
        <v>675</v>
      </c>
      <c r="AA11" s="381">
        <f t="shared" ref="AA11:AB11" si="8">+AA10+AA9</f>
        <v>1385</v>
      </c>
      <c r="AB11" s="381">
        <f t="shared" si="8"/>
        <v>1230</v>
      </c>
      <c r="AC11" s="381">
        <f t="shared" ref="AC11" si="9">+AC10+AC9</f>
        <v>983</v>
      </c>
      <c r="AD11" s="381">
        <f>+AD10+AD9</f>
        <v>910</v>
      </c>
      <c r="AE11" s="492"/>
    </row>
    <row r="12" spans="1:33">
      <c r="B12" s="374"/>
      <c r="C12" s="380"/>
      <c r="D12" s="380"/>
      <c r="E12" s="380"/>
      <c r="F12" s="380"/>
      <c r="G12" s="380"/>
      <c r="H12" s="525"/>
      <c r="I12" s="380"/>
      <c r="J12" s="380"/>
      <c r="K12" s="380"/>
      <c r="L12" s="525"/>
      <c r="M12" s="380"/>
      <c r="N12" s="380"/>
      <c r="O12" s="380"/>
      <c r="P12" s="380"/>
      <c r="Q12" s="380"/>
      <c r="R12" s="380"/>
      <c r="S12" s="380"/>
      <c r="T12" s="380"/>
      <c r="U12" s="380"/>
      <c r="V12" s="380"/>
      <c r="W12" s="380"/>
      <c r="X12" s="380"/>
      <c r="Y12" s="380"/>
      <c r="Z12" s="380"/>
      <c r="AA12" s="380"/>
      <c r="AB12" s="380"/>
      <c r="AC12" s="380"/>
      <c r="AD12" s="380"/>
      <c r="AE12" s="525"/>
    </row>
    <row r="13" spans="1:33">
      <c r="B13" s="374" t="s">
        <v>192</v>
      </c>
      <c r="C13" s="481">
        <v>171</v>
      </c>
      <c r="D13" s="481">
        <v>85</v>
      </c>
      <c r="E13" s="481">
        <v>63</v>
      </c>
      <c r="F13" s="481">
        <v>54</v>
      </c>
      <c r="G13" s="481">
        <v>221</v>
      </c>
      <c r="H13" s="481">
        <v>71</v>
      </c>
      <c r="I13" s="481">
        <v>51</v>
      </c>
      <c r="J13" s="481">
        <v>62</v>
      </c>
      <c r="K13" s="481">
        <v>193</v>
      </c>
      <c r="L13" s="481">
        <v>75</v>
      </c>
      <c r="M13" s="481">
        <v>63</v>
      </c>
      <c r="N13" s="481">
        <v>77</v>
      </c>
      <c r="O13" s="481">
        <v>203</v>
      </c>
      <c r="P13" s="481">
        <v>65</v>
      </c>
      <c r="Q13" s="481">
        <v>47</v>
      </c>
      <c r="R13" s="481">
        <v>54</v>
      </c>
      <c r="S13" s="481">
        <v>140</v>
      </c>
      <c r="T13" s="481">
        <v>51</v>
      </c>
      <c r="U13" s="481">
        <v>37</v>
      </c>
      <c r="V13" s="481">
        <v>56</v>
      </c>
      <c r="W13" s="481">
        <v>180</v>
      </c>
      <c r="X13" s="481">
        <v>73</v>
      </c>
      <c r="Y13" s="481">
        <v>66</v>
      </c>
      <c r="Z13" s="481">
        <v>78</v>
      </c>
      <c r="AA13" s="481">
        <v>190</v>
      </c>
      <c r="AB13" s="481">
        <v>48</v>
      </c>
      <c r="AC13" s="481">
        <v>61</v>
      </c>
      <c r="AD13" s="481">
        <v>80</v>
      </c>
      <c r="AE13" s="492"/>
    </row>
    <row r="14" spans="1:33" ht="12.75" thickBot="1">
      <c r="B14" s="374" t="s">
        <v>91</v>
      </c>
      <c r="C14" s="482">
        <f>+C13+C11</f>
        <v>1638</v>
      </c>
      <c r="D14" s="482">
        <f t="shared" ref="D14:G14" si="10">+D13+D11</f>
        <v>981</v>
      </c>
      <c r="E14" s="482">
        <f t="shared" si="10"/>
        <v>1038</v>
      </c>
      <c r="F14" s="482">
        <f t="shared" si="10"/>
        <v>703</v>
      </c>
      <c r="G14" s="482">
        <f t="shared" si="10"/>
        <v>1557</v>
      </c>
      <c r="H14" s="482">
        <f t="shared" ref="H14:N14" si="11">+H13+H11</f>
        <v>1308</v>
      </c>
      <c r="I14" s="482">
        <f t="shared" si="11"/>
        <v>967</v>
      </c>
      <c r="J14" s="482">
        <f t="shared" si="11"/>
        <v>745</v>
      </c>
      <c r="K14" s="482">
        <f t="shared" si="11"/>
        <v>1427</v>
      </c>
      <c r="L14" s="482">
        <f t="shared" si="11"/>
        <v>1449</v>
      </c>
      <c r="M14" s="482">
        <f t="shared" si="11"/>
        <v>1146</v>
      </c>
      <c r="N14" s="482">
        <f t="shared" si="11"/>
        <v>754</v>
      </c>
      <c r="O14" s="482">
        <f t="shared" ref="O14:P14" si="12">+O13+O11</f>
        <v>1407</v>
      </c>
      <c r="P14" s="482">
        <f t="shared" si="12"/>
        <v>1172</v>
      </c>
      <c r="Q14" s="482">
        <f t="shared" ref="Q14:R14" si="13">+Q13+Q11</f>
        <v>1075</v>
      </c>
      <c r="R14" s="482">
        <f t="shared" si="13"/>
        <v>841</v>
      </c>
      <c r="S14" s="482">
        <f t="shared" ref="S14:T14" si="14">+S13+S11</f>
        <v>1768</v>
      </c>
      <c r="T14" s="482">
        <f t="shared" si="14"/>
        <v>1324</v>
      </c>
      <c r="U14" s="482">
        <f t="shared" ref="U14:V14" si="15">+U13+U11</f>
        <v>1050</v>
      </c>
      <c r="V14" s="482">
        <f t="shared" si="15"/>
        <v>691</v>
      </c>
      <c r="W14" s="482">
        <f t="shared" ref="W14:X14" si="16">+W13+W11</f>
        <v>1518</v>
      </c>
      <c r="X14" s="482">
        <f t="shared" si="16"/>
        <v>1111</v>
      </c>
      <c r="Y14" s="482">
        <f t="shared" ref="Y14:Z14" si="17">+Y13+Y11</f>
        <v>970</v>
      </c>
      <c r="Z14" s="482">
        <f t="shared" si="17"/>
        <v>753</v>
      </c>
      <c r="AA14" s="482">
        <f t="shared" ref="AA14:AB14" si="18">+AA13+AA11</f>
        <v>1575</v>
      </c>
      <c r="AB14" s="482">
        <f t="shared" si="18"/>
        <v>1278</v>
      </c>
      <c r="AC14" s="482">
        <f t="shared" ref="AC14" si="19">+AC13+AC11</f>
        <v>1044</v>
      </c>
      <c r="AD14" s="482">
        <f>+AD13+AD11</f>
        <v>990</v>
      </c>
      <c r="AE14" s="492"/>
    </row>
    <row r="15" spans="1:33">
      <c r="B15" s="374"/>
      <c r="C15" s="605"/>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E15" s="525"/>
    </row>
    <row r="16" spans="1:33">
      <c r="B16" s="372" t="s">
        <v>198</v>
      </c>
      <c r="C16" s="380"/>
      <c r="D16" s="380"/>
      <c r="E16" s="380"/>
      <c r="F16" s="380"/>
      <c r="G16" s="499"/>
      <c r="H16" s="380"/>
      <c r="I16" s="380"/>
      <c r="J16" s="380"/>
      <c r="K16" s="499"/>
      <c r="L16" s="380"/>
      <c r="M16" s="380"/>
      <c r="N16" s="380"/>
      <c r="O16" s="380"/>
      <c r="P16" s="380"/>
      <c r="Q16" s="380"/>
      <c r="R16" s="380"/>
      <c r="S16" s="380"/>
      <c r="T16" s="380"/>
      <c r="U16" s="380"/>
      <c r="V16" s="380"/>
      <c r="W16" s="380"/>
      <c r="X16" s="380"/>
      <c r="Y16" s="380"/>
      <c r="Z16" s="380"/>
      <c r="AA16" s="380"/>
      <c r="AB16" s="380"/>
      <c r="AC16" s="380"/>
      <c r="AD16" s="380"/>
      <c r="AE16" s="492"/>
      <c r="AG16" s="492"/>
    </row>
    <row r="17" spans="2:35">
      <c r="B17" s="374" t="s">
        <v>190</v>
      </c>
      <c r="C17" s="380">
        <f t="shared" ref="C17" si="20">C22-C9</f>
        <v>700</v>
      </c>
      <c r="D17" s="380">
        <f t="shared" ref="D17:G17" si="21">D22-D9</f>
        <v>-271</v>
      </c>
      <c r="E17" s="380">
        <f t="shared" si="21"/>
        <v>-244</v>
      </c>
      <c r="F17" s="380">
        <f t="shared" si="21"/>
        <v>37</v>
      </c>
      <c r="G17" s="380">
        <f t="shared" si="21"/>
        <v>933</v>
      </c>
      <c r="H17" s="380">
        <f t="shared" ref="H17:J18" si="22">H22-H9</f>
        <v>-600</v>
      </c>
      <c r="I17" s="380">
        <f t="shared" si="22"/>
        <v>-327</v>
      </c>
      <c r="J17" s="380">
        <f t="shared" si="22"/>
        <v>112</v>
      </c>
      <c r="K17" s="380">
        <f t="shared" ref="K17" si="23">K22-K9</f>
        <v>1065</v>
      </c>
      <c r="L17" s="380">
        <f t="shared" ref="L17:N17" si="24">L22-L9</f>
        <v>-706</v>
      </c>
      <c r="M17" s="380">
        <f t="shared" si="24"/>
        <v>-448</v>
      </c>
      <c r="N17" s="380">
        <f t="shared" si="24"/>
        <v>-86</v>
      </c>
      <c r="O17" s="380">
        <f t="shared" ref="O17:P17" si="25">O22-O9</f>
        <v>1055</v>
      </c>
      <c r="P17" s="380">
        <f t="shared" si="25"/>
        <v>-569</v>
      </c>
      <c r="Q17" s="380">
        <f t="shared" ref="Q17:R17" si="26">Q22-Q9</f>
        <v>-175</v>
      </c>
      <c r="R17" s="380">
        <f t="shared" si="26"/>
        <v>-87</v>
      </c>
      <c r="S17" s="380">
        <f t="shared" ref="S17:T17" si="27">S22-S9</f>
        <v>900</v>
      </c>
      <c r="T17" s="380">
        <f t="shared" si="27"/>
        <v>-572</v>
      </c>
      <c r="U17" s="380">
        <f t="shared" ref="U17:V17" si="28">U22-U9</f>
        <v>-438</v>
      </c>
      <c r="V17" s="380">
        <f t="shared" si="28"/>
        <v>-24</v>
      </c>
      <c r="W17" s="380">
        <f t="shared" ref="W17:X17" si="29">W22-W9</f>
        <v>786</v>
      </c>
      <c r="X17" s="380">
        <f t="shared" si="29"/>
        <v>-487</v>
      </c>
      <c r="Y17" s="380">
        <f t="shared" ref="Y17:Z17" si="30">Y22-Y9</f>
        <v>-317</v>
      </c>
      <c r="Z17" s="380">
        <f t="shared" si="30"/>
        <v>416</v>
      </c>
      <c r="AA17" s="380">
        <f t="shared" ref="AA17:AB17" si="31">AA22-AA9</f>
        <v>492</v>
      </c>
      <c r="AB17" s="380">
        <f t="shared" si="31"/>
        <v>-532</v>
      </c>
      <c r="AC17" s="380">
        <f t="shared" ref="AC17:AD17" si="32">AC22-AC9</f>
        <v>-327</v>
      </c>
      <c r="AD17" s="380">
        <f t="shared" si="32"/>
        <v>-18</v>
      </c>
      <c r="AE17" s="492"/>
      <c r="AG17" s="492"/>
      <c r="AI17" s="492"/>
    </row>
    <row r="18" spans="2:35">
      <c r="B18" s="374" t="s">
        <v>191</v>
      </c>
      <c r="C18" s="381">
        <f t="shared" ref="C18" si="33">C23-C10</f>
        <v>5</v>
      </c>
      <c r="D18" s="381">
        <f t="shared" ref="D18:G18" si="34">D23-D10</f>
        <v>14</v>
      </c>
      <c r="E18" s="381">
        <f t="shared" si="34"/>
        <v>7</v>
      </c>
      <c r="F18" s="381">
        <f t="shared" si="34"/>
        <v>15</v>
      </c>
      <c r="G18" s="381">
        <f t="shared" si="34"/>
        <v>5</v>
      </c>
      <c r="H18" s="381">
        <f t="shared" si="22"/>
        <v>6</v>
      </c>
      <c r="I18" s="381">
        <f t="shared" si="22"/>
        <v>43</v>
      </c>
      <c r="J18" s="381">
        <f t="shared" si="22"/>
        <v>0</v>
      </c>
      <c r="K18" s="381">
        <f t="shared" ref="K18" si="35">K23-K10</f>
        <v>56</v>
      </c>
      <c r="L18" s="381">
        <f t="shared" ref="L18:N18" si="36">L23-L10</f>
        <v>12</v>
      </c>
      <c r="M18" s="381">
        <f t="shared" si="36"/>
        <v>1</v>
      </c>
      <c r="N18" s="381">
        <f t="shared" si="36"/>
        <v>-41</v>
      </c>
      <c r="O18" s="381">
        <f t="shared" ref="O18:P18" si="37">O23-O10</f>
        <v>-54</v>
      </c>
      <c r="P18" s="381">
        <f t="shared" si="37"/>
        <v>-16</v>
      </c>
      <c r="Q18" s="381">
        <f t="shared" ref="Q18:R18" si="38">Q23-Q10</f>
        <v>154</v>
      </c>
      <c r="R18" s="381">
        <f t="shared" si="38"/>
        <v>-3</v>
      </c>
      <c r="S18" s="381">
        <f t="shared" ref="S18:T18" si="39">S23-S10</f>
        <v>-73</v>
      </c>
      <c r="T18" s="381">
        <f t="shared" si="39"/>
        <v>52</v>
      </c>
      <c r="U18" s="381">
        <f t="shared" ref="U18:V18" si="40">U23-U10</f>
        <v>-4</v>
      </c>
      <c r="V18" s="381">
        <f t="shared" si="40"/>
        <v>-10</v>
      </c>
      <c r="W18" s="381">
        <f t="shared" ref="W18:X18" si="41">W23-W10</f>
        <v>-32</v>
      </c>
      <c r="X18" s="380">
        <f t="shared" si="41"/>
        <v>148</v>
      </c>
      <c r="Y18" s="380">
        <f t="shared" ref="Y18:Z18" si="42">Y23-Y10</f>
        <v>5</v>
      </c>
      <c r="Z18" s="380">
        <f t="shared" si="42"/>
        <v>1</v>
      </c>
      <c r="AA18" s="380">
        <f t="shared" ref="AA18:AB18" si="43">AA23-AA10</f>
        <v>146</v>
      </c>
      <c r="AB18" s="380">
        <f t="shared" si="43"/>
        <v>-43</v>
      </c>
      <c r="AC18" s="380">
        <f t="shared" ref="AC18:AD18" si="44">AC23-AC10</f>
        <v>42</v>
      </c>
      <c r="AD18" s="380">
        <f t="shared" si="44"/>
        <v>68</v>
      </c>
      <c r="AE18" s="492"/>
      <c r="AG18" s="492"/>
      <c r="AI18" s="492"/>
    </row>
    <row r="19" spans="2:35">
      <c r="B19" s="374" t="s">
        <v>193</v>
      </c>
      <c r="C19" s="382">
        <f>SUM(C17:C18)</f>
        <v>705</v>
      </c>
      <c r="D19" s="382">
        <f t="shared" ref="D19:G19" si="45">SUM(D17:D18)</f>
        <v>-257</v>
      </c>
      <c r="E19" s="382">
        <f t="shared" si="45"/>
        <v>-237</v>
      </c>
      <c r="F19" s="382">
        <f t="shared" si="45"/>
        <v>52</v>
      </c>
      <c r="G19" s="382">
        <f t="shared" si="45"/>
        <v>938</v>
      </c>
      <c r="H19" s="382">
        <f t="shared" ref="H19:N19" si="46">SUM(H17:H18)</f>
        <v>-594</v>
      </c>
      <c r="I19" s="382">
        <f t="shared" si="46"/>
        <v>-284</v>
      </c>
      <c r="J19" s="382">
        <f t="shared" si="46"/>
        <v>112</v>
      </c>
      <c r="K19" s="382">
        <f t="shared" si="46"/>
        <v>1121</v>
      </c>
      <c r="L19" s="382">
        <f t="shared" si="46"/>
        <v>-694</v>
      </c>
      <c r="M19" s="382">
        <f t="shared" si="46"/>
        <v>-447</v>
      </c>
      <c r="N19" s="382">
        <f t="shared" si="46"/>
        <v>-127</v>
      </c>
      <c r="O19" s="382">
        <f t="shared" ref="O19:P19" si="47">SUM(O17:O18)</f>
        <v>1001</v>
      </c>
      <c r="P19" s="382">
        <f t="shared" si="47"/>
        <v>-585</v>
      </c>
      <c r="Q19" s="382">
        <f t="shared" ref="Q19:R19" si="48">SUM(Q17:Q18)</f>
        <v>-21</v>
      </c>
      <c r="R19" s="382">
        <f t="shared" si="48"/>
        <v>-90</v>
      </c>
      <c r="S19" s="382">
        <f t="shared" ref="S19:T19" si="49">SUM(S17:S18)</f>
        <v>827</v>
      </c>
      <c r="T19" s="382">
        <f t="shared" si="49"/>
        <v>-520</v>
      </c>
      <c r="U19" s="382">
        <f t="shared" ref="U19:V19" si="50">SUM(U17:U18)</f>
        <v>-442</v>
      </c>
      <c r="V19" s="382">
        <f t="shared" si="50"/>
        <v>-34</v>
      </c>
      <c r="W19" s="382">
        <f t="shared" ref="W19:X19" si="51">SUM(W17:W18)</f>
        <v>754</v>
      </c>
      <c r="X19" s="382">
        <f t="shared" si="51"/>
        <v>-339</v>
      </c>
      <c r="Y19" s="382">
        <f t="shared" ref="Y19:Z19" si="52">SUM(Y17:Y18)</f>
        <v>-312</v>
      </c>
      <c r="Z19" s="382">
        <f t="shared" si="52"/>
        <v>417</v>
      </c>
      <c r="AA19" s="382">
        <f t="shared" ref="AA19:AB19" si="53">SUM(AA17:AA18)</f>
        <v>638</v>
      </c>
      <c r="AB19" s="382">
        <f t="shared" si="53"/>
        <v>-575</v>
      </c>
      <c r="AC19" s="382">
        <f t="shared" ref="AC19:AD19" si="54">SUM(AC17:AC18)</f>
        <v>-285</v>
      </c>
      <c r="AD19" s="382">
        <f t="shared" si="54"/>
        <v>50</v>
      </c>
      <c r="AE19" s="492"/>
      <c r="AI19" s="492"/>
    </row>
    <row r="20" spans="2:35">
      <c r="B20" s="374"/>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492"/>
    </row>
    <row r="21" spans="2:35">
      <c r="B21" s="372" t="s">
        <v>197</v>
      </c>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492"/>
    </row>
    <row r="22" spans="2:35">
      <c r="B22" s="374" t="s">
        <v>190</v>
      </c>
      <c r="C22" s="380">
        <v>1851</v>
      </c>
      <c r="D22" s="380">
        <v>325</v>
      </c>
      <c r="E22" s="380">
        <v>432</v>
      </c>
      <c r="F22" s="380">
        <v>388</v>
      </c>
      <c r="G22" s="380">
        <v>1933</v>
      </c>
      <c r="H22" s="380">
        <f>304+2</f>
        <v>306</v>
      </c>
      <c r="I22" s="380">
        <f>258-1</f>
        <v>257</v>
      </c>
      <c r="J22" s="380">
        <v>432</v>
      </c>
      <c r="K22" s="380">
        <f>1879+6</f>
        <v>1885</v>
      </c>
      <c r="L22" s="380">
        <v>240</v>
      </c>
      <c r="M22" s="380">
        <v>212</v>
      </c>
      <c r="N22" s="380">
        <v>164</v>
      </c>
      <c r="O22" s="380">
        <v>1896</v>
      </c>
      <c r="P22" s="380">
        <v>224</v>
      </c>
      <c r="Q22" s="380">
        <v>510</v>
      </c>
      <c r="R22" s="380">
        <v>270</v>
      </c>
      <c r="S22" s="380">
        <v>2077</v>
      </c>
      <c r="T22" s="380">
        <v>324</v>
      </c>
      <c r="U22" s="380">
        <v>188</v>
      </c>
      <c r="V22" s="380">
        <v>202</v>
      </c>
      <c r="W22" s="380">
        <v>1739</v>
      </c>
      <c r="X22" s="380">
        <v>172</v>
      </c>
      <c r="Y22" s="380">
        <v>111</v>
      </c>
      <c r="Z22" s="380">
        <v>587</v>
      </c>
      <c r="AA22" s="380">
        <v>1338</v>
      </c>
      <c r="AB22" s="380">
        <v>117</v>
      </c>
      <c r="AC22" s="380">
        <v>87</v>
      </c>
      <c r="AD22" s="380">
        <v>263</v>
      </c>
      <c r="AE22" s="492"/>
    </row>
    <row r="23" spans="2:35">
      <c r="B23" s="374" t="s">
        <v>191</v>
      </c>
      <c r="C23" s="481">
        <v>321</v>
      </c>
      <c r="D23" s="481">
        <v>314</v>
      </c>
      <c r="E23" s="481">
        <v>306</v>
      </c>
      <c r="F23" s="481">
        <v>313</v>
      </c>
      <c r="G23" s="481">
        <v>341</v>
      </c>
      <c r="H23" s="481">
        <f>339-2</f>
        <v>337</v>
      </c>
      <c r="I23" s="481">
        <f>374+1</f>
        <v>375</v>
      </c>
      <c r="J23" s="481">
        <v>363</v>
      </c>
      <c r="K23" s="481">
        <f>476-6</f>
        <v>470</v>
      </c>
      <c r="L23" s="481">
        <v>440</v>
      </c>
      <c r="M23" s="481">
        <v>424</v>
      </c>
      <c r="N23" s="481">
        <v>386</v>
      </c>
      <c r="O23" s="481">
        <v>309</v>
      </c>
      <c r="P23" s="481">
        <v>298</v>
      </c>
      <c r="Q23" s="481">
        <v>497</v>
      </c>
      <c r="R23" s="481">
        <v>427</v>
      </c>
      <c r="S23" s="481">
        <v>378</v>
      </c>
      <c r="T23" s="481">
        <v>429</v>
      </c>
      <c r="U23" s="481">
        <v>383</v>
      </c>
      <c r="V23" s="481">
        <v>399</v>
      </c>
      <c r="W23" s="481">
        <v>353</v>
      </c>
      <c r="X23" s="481">
        <v>527</v>
      </c>
      <c r="Y23" s="481">
        <v>481</v>
      </c>
      <c r="Z23" s="481">
        <v>505</v>
      </c>
      <c r="AA23" s="481">
        <v>685</v>
      </c>
      <c r="AB23" s="481">
        <v>538</v>
      </c>
      <c r="AC23" s="481">
        <v>611</v>
      </c>
      <c r="AD23" s="481">
        <v>697</v>
      </c>
      <c r="AE23" s="492"/>
    </row>
    <row r="24" spans="2:35">
      <c r="B24" s="374" t="s">
        <v>102</v>
      </c>
      <c r="C24" s="381">
        <f t="shared" ref="C24" si="55">+C23+C22</f>
        <v>2172</v>
      </c>
      <c r="D24" s="381">
        <f t="shared" ref="D24:G24" si="56">+D23+D22</f>
        <v>639</v>
      </c>
      <c r="E24" s="381">
        <f t="shared" si="56"/>
        <v>738</v>
      </c>
      <c r="F24" s="381">
        <f t="shared" si="56"/>
        <v>701</v>
      </c>
      <c r="G24" s="381">
        <f t="shared" si="56"/>
        <v>2274</v>
      </c>
      <c r="H24" s="381">
        <f t="shared" ref="H24:N24" si="57">+H23+H22</f>
        <v>643</v>
      </c>
      <c r="I24" s="381">
        <f t="shared" si="57"/>
        <v>632</v>
      </c>
      <c r="J24" s="381">
        <f t="shared" si="57"/>
        <v>795</v>
      </c>
      <c r="K24" s="381">
        <f t="shared" si="57"/>
        <v>2355</v>
      </c>
      <c r="L24" s="381">
        <f t="shared" si="57"/>
        <v>680</v>
      </c>
      <c r="M24" s="381">
        <f t="shared" si="57"/>
        <v>636</v>
      </c>
      <c r="N24" s="381">
        <f t="shared" si="57"/>
        <v>550</v>
      </c>
      <c r="O24" s="381">
        <f t="shared" ref="O24:P24" si="58">+O23+O22</f>
        <v>2205</v>
      </c>
      <c r="P24" s="381">
        <f t="shared" si="58"/>
        <v>522</v>
      </c>
      <c r="Q24" s="381">
        <f t="shared" ref="Q24:R24" si="59">+Q23+Q22</f>
        <v>1007</v>
      </c>
      <c r="R24" s="381">
        <f t="shared" si="59"/>
        <v>697</v>
      </c>
      <c r="S24" s="381">
        <f t="shared" ref="S24:T24" si="60">+S23+S22</f>
        <v>2455</v>
      </c>
      <c r="T24" s="381">
        <f t="shared" si="60"/>
        <v>753</v>
      </c>
      <c r="U24" s="381">
        <f t="shared" ref="U24:V24" si="61">+U23+U22</f>
        <v>571</v>
      </c>
      <c r="V24" s="381">
        <f t="shared" si="61"/>
        <v>601</v>
      </c>
      <c r="W24" s="381">
        <f t="shared" ref="W24:X24" si="62">+W23+W22</f>
        <v>2092</v>
      </c>
      <c r="X24" s="381">
        <f t="shared" si="62"/>
        <v>699</v>
      </c>
      <c r="Y24" s="381">
        <f t="shared" ref="Y24:Z24" si="63">+Y23+Y22</f>
        <v>592</v>
      </c>
      <c r="Z24" s="381">
        <f t="shared" si="63"/>
        <v>1092</v>
      </c>
      <c r="AA24" s="381">
        <f t="shared" ref="AA24:AB24" si="64">+AA23+AA22</f>
        <v>2023</v>
      </c>
      <c r="AB24" s="381">
        <f t="shared" si="64"/>
        <v>655</v>
      </c>
      <c r="AC24" s="381">
        <f t="shared" ref="AC24" si="65">+AC23+AC22</f>
        <v>698</v>
      </c>
      <c r="AD24" s="381">
        <f>+AD23+AD22</f>
        <v>960</v>
      </c>
      <c r="AE24" s="492"/>
    </row>
    <row r="25" spans="2:35">
      <c r="B25" s="374"/>
      <c r="C25" s="380"/>
      <c r="D25" s="380"/>
      <c r="E25" s="380"/>
      <c r="F25" s="380"/>
      <c r="G25" s="380"/>
      <c r="H25" s="525"/>
      <c r="I25" s="380"/>
      <c r="J25" s="380"/>
      <c r="K25" s="380"/>
      <c r="L25" s="525"/>
      <c r="M25" s="380"/>
      <c r="N25" s="380"/>
      <c r="O25" s="380"/>
      <c r="P25" s="380"/>
      <c r="Q25" s="380"/>
      <c r="R25" s="380"/>
      <c r="S25" s="380"/>
      <c r="T25" s="380"/>
      <c r="U25" s="380"/>
      <c r="V25" s="380"/>
      <c r="W25" s="380"/>
      <c r="X25" s="380"/>
      <c r="Y25" s="380"/>
      <c r="Z25" s="380"/>
      <c r="AA25" s="380"/>
      <c r="AB25" s="380"/>
      <c r="AC25" s="380"/>
      <c r="AD25" s="380"/>
      <c r="AE25" s="525"/>
    </row>
    <row r="26" spans="2:35">
      <c r="B26" s="374" t="s">
        <v>192</v>
      </c>
      <c r="C26" s="381">
        <v>171</v>
      </c>
      <c r="D26" s="381">
        <v>85</v>
      </c>
      <c r="E26" s="381">
        <v>63</v>
      </c>
      <c r="F26" s="381">
        <v>54</v>
      </c>
      <c r="G26" s="381">
        <v>221</v>
      </c>
      <c r="H26" s="381">
        <v>71</v>
      </c>
      <c r="I26" s="381">
        <v>51</v>
      </c>
      <c r="J26" s="381">
        <v>62</v>
      </c>
      <c r="K26" s="381">
        <v>193</v>
      </c>
      <c r="L26" s="381">
        <v>75</v>
      </c>
      <c r="M26" s="381">
        <v>63</v>
      </c>
      <c r="N26" s="381">
        <v>77</v>
      </c>
      <c r="O26" s="381">
        <v>203</v>
      </c>
      <c r="P26" s="381">
        <v>65</v>
      </c>
      <c r="Q26" s="381">
        <v>47</v>
      </c>
      <c r="R26" s="381">
        <v>54</v>
      </c>
      <c r="S26" s="381">
        <v>140</v>
      </c>
      <c r="T26" s="381">
        <v>51</v>
      </c>
      <c r="U26" s="381">
        <v>37</v>
      </c>
      <c r="V26" s="381">
        <v>56</v>
      </c>
      <c r="W26" s="381">
        <v>180</v>
      </c>
      <c r="X26" s="381">
        <v>73</v>
      </c>
      <c r="Y26" s="381">
        <v>66</v>
      </c>
      <c r="Z26" s="381">
        <v>78</v>
      </c>
      <c r="AA26" s="381">
        <v>190</v>
      </c>
      <c r="AB26" s="381">
        <v>48</v>
      </c>
      <c r="AC26" s="381">
        <v>61</v>
      </c>
      <c r="AD26" s="381">
        <v>80</v>
      </c>
    </row>
    <row r="27" spans="2:35" ht="12.75" thickBot="1">
      <c r="B27" s="374" t="s">
        <v>194</v>
      </c>
      <c r="C27" s="482">
        <f>+C26+C24</f>
        <v>2343</v>
      </c>
      <c r="D27" s="482">
        <f t="shared" ref="D27:G27" si="66">+D26+D24</f>
        <v>724</v>
      </c>
      <c r="E27" s="482">
        <f t="shared" si="66"/>
        <v>801</v>
      </c>
      <c r="F27" s="482">
        <f t="shared" si="66"/>
        <v>755</v>
      </c>
      <c r="G27" s="482">
        <f t="shared" si="66"/>
        <v>2495</v>
      </c>
      <c r="H27" s="482">
        <f t="shared" ref="H27:N27" si="67">+H26+H24</f>
        <v>714</v>
      </c>
      <c r="I27" s="482">
        <f t="shared" si="67"/>
        <v>683</v>
      </c>
      <c r="J27" s="482">
        <f t="shared" si="67"/>
        <v>857</v>
      </c>
      <c r="K27" s="482">
        <f t="shared" si="67"/>
        <v>2548</v>
      </c>
      <c r="L27" s="482">
        <f t="shared" si="67"/>
        <v>755</v>
      </c>
      <c r="M27" s="482">
        <f t="shared" si="67"/>
        <v>699</v>
      </c>
      <c r="N27" s="482">
        <f t="shared" si="67"/>
        <v>627</v>
      </c>
      <c r="O27" s="482">
        <f t="shared" ref="O27:P27" si="68">+O26+O24</f>
        <v>2408</v>
      </c>
      <c r="P27" s="482">
        <f t="shared" si="68"/>
        <v>587</v>
      </c>
      <c r="Q27" s="482">
        <f t="shared" ref="Q27:R27" si="69">+Q26+Q24</f>
        <v>1054</v>
      </c>
      <c r="R27" s="482">
        <f t="shared" si="69"/>
        <v>751</v>
      </c>
      <c r="S27" s="482">
        <f t="shared" ref="S27:T27" si="70">+S26+S24</f>
        <v>2595</v>
      </c>
      <c r="T27" s="482">
        <f t="shared" si="70"/>
        <v>804</v>
      </c>
      <c r="U27" s="482">
        <f t="shared" ref="U27:V27" si="71">+U26+U24</f>
        <v>608</v>
      </c>
      <c r="V27" s="482">
        <f t="shared" si="71"/>
        <v>657</v>
      </c>
      <c r="W27" s="482">
        <f t="shared" ref="W27:X27" si="72">+W26+W24</f>
        <v>2272</v>
      </c>
      <c r="X27" s="482">
        <f t="shared" si="72"/>
        <v>772</v>
      </c>
      <c r="Y27" s="482">
        <f t="shared" ref="Y27:Z27" si="73">+Y26+Y24</f>
        <v>658</v>
      </c>
      <c r="Z27" s="482">
        <f t="shared" si="73"/>
        <v>1170</v>
      </c>
      <c r="AA27" s="482">
        <f t="shared" ref="AA27:AB27" si="74">+AA26+AA24</f>
        <v>2213</v>
      </c>
      <c r="AB27" s="482">
        <f t="shared" si="74"/>
        <v>703</v>
      </c>
      <c r="AC27" s="482">
        <f t="shared" ref="AC27" si="75">+AC26+AC24</f>
        <v>759</v>
      </c>
      <c r="AD27" s="482">
        <f>+AD26+AD24</f>
        <v>1040</v>
      </c>
    </row>
    <row r="28" spans="2:35" ht="14.25">
      <c r="F28" s="498"/>
      <c r="G28" s="497"/>
      <c r="H28" s="525"/>
      <c r="I28" s="497"/>
      <c r="J28" s="498"/>
      <c r="K28" s="497"/>
      <c r="L28" s="525"/>
      <c r="M28" s="497"/>
      <c r="N28" s="498"/>
      <c r="O28" s="498"/>
      <c r="P28" s="498"/>
      <c r="Q28" s="498"/>
      <c r="R28" s="498"/>
      <c r="S28" s="498"/>
      <c r="T28" s="498"/>
      <c r="U28" s="498"/>
      <c r="V28" s="498"/>
      <c r="W28" s="498"/>
      <c r="X28" s="498"/>
      <c r="Y28" s="498"/>
      <c r="Z28" s="498"/>
      <c r="AA28" s="498"/>
      <c r="AB28" s="498"/>
      <c r="AC28" s="498"/>
      <c r="AD28" s="498"/>
      <c r="AE28" s="525"/>
    </row>
    <row r="29" spans="2:35">
      <c r="H29" s="375"/>
      <c r="L29" s="493"/>
      <c r="N29" s="493"/>
      <c r="O29" s="493"/>
      <c r="P29" s="493"/>
      <c r="Q29" s="493"/>
      <c r="R29" s="493"/>
      <c r="S29" s="493"/>
      <c r="T29" s="493"/>
      <c r="U29" s="493"/>
      <c r="V29" s="493"/>
      <c r="W29" s="493"/>
      <c r="X29" s="493"/>
      <c r="Y29" s="493"/>
      <c r="Z29" s="493"/>
      <c r="AA29" s="493"/>
      <c r="AB29" s="493"/>
      <c r="AC29" s="493"/>
      <c r="AD29" s="493"/>
    </row>
    <row r="30" spans="2:35">
      <c r="B30" s="370" t="s">
        <v>341</v>
      </c>
      <c r="F30" s="501"/>
      <c r="G30" s="502"/>
      <c r="J30" s="501"/>
      <c r="K30" s="502"/>
      <c r="N30" s="501"/>
      <c r="O30" s="501"/>
      <c r="P30" s="501"/>
      <c r="Q30" s="501"/>
      <c r="R30" s="501"/>
      <c r="S30" s="501"/>
      <c r="T30" s="501"/>
      <c r="U30" s="501"/>
      <c r="V30" s="501"/>
      <c r="W30" s="501"/>
      <c r="X30" s="501"/>
      <c r="Y30" s="501"/>
      <c r="Z30" s="501"/>
      <c r="AA30" s="501"/>
      <c r="AB30" s="501"/>
      <c r="AC30" s="501"/>
      <c r="AD30" s="501"/>
    </row>
    <row r="31" spans="2:35">
      <c r="B31" s="370" t="s">
        <v>195</v>
      </c>
      <c r="AH31" s="492"/>
    </row>
    <row r="32" spans="2:35">
      <c r="B32" s="370" t="s">
        <v>358</v>
      </c>
      <c r="AH32" s="492"/>
    </row>
    <row r="33" spans="34:34">
      <c r="AH33" s="492"/>
    </row>
    <row r="34" spans="34:34">
      <c r="AH34" s="492"/>
    </row>
  </sheetData>
  <mergeCells count="3">
    <mergeCell ref="A1:AE1"/>
    <mergeCell ref="A2:AE2"/>
    <mergeCell ref="A3:AE3"/>
  </mergeCells>
  <pageMargins left="0.7" right="0.7" top="0.25" bottom="0.44" header="0.3" footer="0.3"/>
  <pageSetup scale="40" orientation="landscape" r:id="rId1"/>
  <headerFooter>
    <oddFooter>&amp;LActivision Blizzard, Inc.&amp;R&amp;P of &amp; 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Z54"/>
  <sheetViews>
    <sheetView showGridLines="0" zoomScaleNormal="100" zoomScaleSheetLayoutView="90" workbookViewId="0">
      <pane xSplit="2" ySplit="7" topLeftCell="Z45" activePane="bottomRight" state="frozen"/>
      <selection sqref="A1:AE1"/>
      <selection pane="topRight" sqref="A1:AE1"/>
      <selection pane="bottomLeft" sqref="A1:AE1"/>
      <selection pane="bottomRight" activeCell="AE38" sqref="AE38"/>
    </sheetView>
  </sheetViews>
  <sheetFormatPr defaultColWidth="9.140625" defaultRowHeight="12"/>
  <cols>
    <col min="1" max="1" width="6.5703125" style="462" customWidth="1"/>
    <col min="2" max="2" width="45.7109375" style="462" customWidth="1"/>
    <col min="3" max="13" width="9.7109375" style="477" customWidth="1"/>
    <col min="14" max="31" width="9.7109375" style="478" customWidth="1"/>
    <col min="32" max="32" width="1.7109375" style="462" customWidth="1"/>
    <col min="33" max="16384" width="9.140625" style="462"/>
  </cols>
  <sheetData>
    <row r="1" spans="1:52" collapsed="1">
      <c r="A1" s="687" t="s">
        <v>42</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407"/>
      <c r="AH1" s="407"/>
      <c r="AI1" s="407"/>
      <c r="AJ1" s="407"/>
      <c r="AK1" s="407"/>
      <c r="AL1" s="407"/>
      <c r="AM1" s="407"/>
      <c r="AN1" s="407"/>
      <c r="AO1" s="407"/>
      <c r="AP1" s="407"/>
      <c r="AQ1" s="407"/>
      <c r="AR1" s="407"/>
      <c r="AS1" s="407"/>
      <c r="AT1" s="407"/>
      <c r="AU1" s="407"/>
      <c r="AV1" s="407"/>
      <c r="AW1" s="407"/>
      <c r="AX1" s="407"/>
      <c r="AY1" s="407"/>
      <c r="AZ1" s="407"/>
    </row>
    <row r="2" spans="1:52">
      <c r="A2" s="687" t="s">
        <v>31</v>
      </c>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407"/>
      <c r="AH2" s="407"/>
      <c r="AI2" s="407"/>
      <c r="AJ2" s="407"/>
      <c r="AK2" s="407"/>
      <c r="AL2" s="407"/>
      <c r="AM2" s="407"/>
      <c r="AN2" s="407"/>
      <c r="AO2" s="407"/>
      <c r="AP2" s="407"/>
      <c r="AQ2" s="407"/>
      <c r="AR2" s="407"/>
      <c r="AS2" s="407"/>
      <c r="AT2" s="407"/>
      <c r="AU2" s="407"/>
      <c r="AV2" s="407"/>
      <c r="AW2" s="407"/>
      <c r="AX2" s="407"/>
      <c r="AY2" s="407"/>
      <c r="AZ2" s="407"/>
    </row>
    <row r="3" spans="1:52">
      <c r="A3" s="687" t="s">
        <v>30</v>
      </c>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407"/>
      <c r="AH3" s="407"/>
      <c r="AI3" s="407"/>
      <c r="AJ3" s="407"/>
      <c r="AK3" s="407"/>
      <c r="AL3" s="407"/>
      <c r="AM3" s="407"/>
      <c r="AN3" s="407"/>
      <c r="AO3" s="407"/>
      <c r="AP3" s="407"/>
      <c r="AQ3" s="407"/>
      <c r="AR3" s="407"/>
      <c r="AS3" s="407"/>
      <c r="AT3" s="407"/>
      <c r="AU3" s="407"/>
      <c r="AV3" s="407"/>
      <c r="AW3" s="407"/>
      <c r="AX3" s="407"/>
      <c r="AY3" s="407"/>
      <c r="AZ3" s="407"/>
    </row>
    <row r="4" spans="1:52">
      <c r="A4" s="463"/>
      <c r="B4" s="464"/>
      <c r="C4" s="465"/>
      <c r="D4" s="465"/>
      <c r="E4" s="465"/>
      <c r="F4" s="465"/>
      <c r="G4" s="465"/>
      <c r="H4" s="465"/>
      <c r="I4" s="465"/>
      <c r="J4" s="465"/>
      <c r="K4" s="465"/>
      <c r="L4" s="465"/>
      <c r="M4" s="465"/>
      <c r="N4" s="466"/>
      <c r="O4" s="466"/>
      <c r="P4" s="466"/>
      <c r="Q4" s="466"/>
      <c r="R4" s="466"/>
      <c r="S4" s="466"/>
      <c r="T4" s="466"/>
      <c r="U4" s="466"/>
      <c r="V4" s="466"/>
      <c r="W4" s="466"/>
      <c r="X4" s="466"/>
      <c r="Y4" s="466"/>
      <c r="Z4" s="466"/>
      <c r="AA4" s="466"/>
      <c r="AB4" s="466"/>
      <c r="AC4" s="466"/>
      <c r="AD4" s="466"/>
      <c r="AE4" s="466"/>
    </row>
    <row r="5" spans="1:52">
      <c r="B5" s="467"/>
      <c r="C5" s="390" t="s">
        <v>5</v>
      </c>
      <c r="D5" s="390" t="s">
        <v>6</v>
      </c>
      <c r="E5" s="390" t="s">
        <v>3</v>
      </c>
      <c r="F5" s="390" t="s">
        <v>4</v>
      </c>
      <c r="G5" s="390" t="s">
        <v>5</v>
      </c>
      <c r="H5" s="390" t="s">
        <v>6</v>
      </c>
      <c r="I5" s="390" t="s">
        <v>3</v>
      </c>
      <c r="J5" s="390" t="s">
        <v>4</v>
      </c>
      <c r="K5" s="390" t="s">
        <v>5</v>
      </c>
      <c r="L5" s="390" t="s">
        <v>6</v>
      </c>
      <c r="M5" s="390" t="s">
        <v>3</v>
      </c>
      <c r="N5" s="390" t="s">
        <v>4</v>
      </c>
      <c r="O5" s="390" t="s">
        <v>5</v>
      </c>
      <c r="P5" s="390" t="s">
        <v>6</v>
      </c>
      <c r="Q5" s="390" t="s">
        <v>3</v>
      </c>
      <c r="R5" s="390" t="s">
        <v>4</v>
      </c>
      <c r="S5" s="390" t="s">
        <v>5</v>
      </c>
      <c r="T5" s="390" t="s">
        <v>6</v>
      </c>
      <c r="U5" s="390" t="s">
        <v>3</v>
      </c>
      <c r="V5" s="390" t="s">
        <v>4</v>
      </c>
      <c r="W5" s="390" t="s">
        <v>5</v>
      </c>
      <c r="X5" s="390" t="s">
        <v>6</v>
      </c>
      <c r="Y5" s="390" t="s">
        <v>3</v>
      </c>
      <c r="Z5" s="390" t="s">
        <v>4</v>
      </c>
      <c r="AA5" s="390" t="s">
        <v>5</v>
      </c>
      <c r="AB5" s="390" t="s">
        <v>6</v>
      </c>
      <c r="AC5" s="390" t="s">
        <v>3</v>
      </c>
      <c r="AD5" s="390" t="s">
        <v>4</v>
      </c>
      <c r="AE5" s="390" t="s">
        <v>5</v>
      </c>
    </row>
    <row r="6" spans="1:52">
      <c r="A6" s="467" t="s">
        <v>7</v>
      </c>
      <c r="B6" s="467"/>
      <c r="C6" s="391" t="s">
        <v>43</v>
      </c>
      <c r="D6" s="391" t="s">
        <v>43</v>
      </c>
      <c r="E6" s="391" t="s">
        <v>44</v>
      </c>
      <c r="F6" s="391" t="s">
        <v>44</v>
      </c>
      <c r="G6" s="391" t="s">
        <v>44</v>
      </c>
      <c r="H6" s="391" t="s">
        <v>44</v>
      </c>
      <c r="I6" s="391" t="s">
        <v>45</v>
      </c>
      <c r="J6" s="391" t="s">
        <v>45</v>
      </c>
      <c r="K6" s="391" t="s">
        <v>45</v>
      </c>
      <c r="L6" s="391" t="s">
        <v>45</v>
      </c>
      <c r="M6" s="391" t="s">
        <v>46</v>
      </c>
      <c r="N6" s="391" t="s">
        <v>46</v>
      </c>
      <c r="O6" s="391" t="s">
        <v>46</v>
      </c>
      <c r="P6" s="391" t="s">
        <v>46</v>
      </c>
      <c r="Q6" s="391" t="s">
        <v>237</v>
      </c>
      <c r="R6" s="391" t="s">
        <v>237</v>
      </c>
      <c r="S6" s="391" t="s">
        <v>237</v>
      </c>
      <c r="T6" s="391" t="s">
        <v>237</v>
      </c>
      <c r="U6" s="391" t="s">
        <v>264</v>
      </c>
      <c r="V6" s="391" t="s">
        <v>264</v>
      </c>
      <c r="W6" s="391" t="s">
        <v>264</v>
      </c>
      <c r="X6" s="391" t="s">
        <v>264</v>
      </c>
      <c r="Y6" s="391" t="s">
        <v>307</v>
      </c>
      <c r="Z6" s="391" t="s">
        <v>307</v>
      </c>
      <c r="AA6" s="391" t="s">
        <v>307</v>
      </c>
      <c r="AB6" s="391" t="s">
        <v>307</v>
      </c>
      <c r="AC6" s="391" t="s">
        <v>332</v>
      </c>
      <c r="AD6" s="391" t="s">
        <v>332</v>
      </c>
      <c r="AE6" s="391" t="s">
        <v>332</v>
      </c>
    </row>
    <row r="7" spans="1:52" ht="5.25" customHeight="1">
      <c r="B7" s="468"/>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row>
    <row r="8" spans="1:52">
      <c r="B8" s="462" t="s">
        <v>14</v>
      </c>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row>
    <row r="9" spans="1:52">
      <c r="B9" s="462" t="s">
        <v>58</v>
      </c>
      <c r="C9" s="470">
        <v>2842</v>
      </c>
      <c r="D9" s="470">
        <v>2958</v>
      </c>
      <c r="E9" s="470">
        <v>2988</v>
      </c>
      <c r="F9" s="470">
        <v>2728</v>
      </c>
      <c r="G9" s="470">
        <v>2360</v>
      </c>
      <c r="H9" s="470">
        <v>2768</v>
      </c>
      <c r="I9" s="470">
        <v>2695</v>
      </c>
      <c r="J9" s="470">
        <v>2214</v>
      </c>
      <c r="K9" s="470">
        <v>2123</v>
      </c>
      <c r="L9" s="470">
        <v>2812</v>
      </c>
      <c r="M9" s="470">
        <v>2658</v>
      </c>
      <c r="N9" s="470">
        <v>2334</v>
      </c>
      <c r="O9" s="470">
        <f>2468+1</f>
        <v>2469</v>
      </c>
      <c r="P9" s="470">
        <v>3165</v>
      </c>
      <c r="Q9" s="470">
        <v>3049</v>
      </c>
      <c r="R9" s="470">
        <v>2786</v>
      </c>
      <c r="S9" s="470">
        <v>2909</v>
      </c>
      <c r="T9" s="470">
        <v>3959</v>
      </c>
      <c r="U9" s="470">
        <v>4299</v>
      </c>
      <c r="V9" s="470">
        <v>4341</v>
      </c>
      <c r="W9" s="470">
        <v>4444</v>
      </c>
      <c r="X9" s="470">
        <v>4410</v>
      </c>
      <c r="Y9" s="470">
        <v>4279</v>
      </c>
      <c r="Z9" s="470">
        <v>4199</v>
      </c>
      <c r="AA9" s="470">
        <v>3805</v>
      </c>
      <c r="AB9" s="470">
        <v>4848</v>
      </c>
      <c r="AC9" s="470">
        <v>4465</v>
      </c>
      <c r="AD9" s="470">
        <v>4416</v>
      </c>
      <c r="AE9" s="470">
        <v>4365</v>
      </c>
    </row>
    <row r="10" spans="1:52">
      <c r="B10" s="462" t="s">
        <v>284</v>
      </c>
      <c r="C10" s="414">
        <v>0</v>
      </c>
      <c r="D10" s="414">
        <v>0</v>
      </c>
      <c r="E10" s="414">
        <v>0</v>
      </c>
      <c r="F10" s="414">
        <v>0</v>
      </c>
      <c r="G10" s="414">
        <v>0</v>
      </c>
      <c r="H10" s="414">
        <v>0</v>
      </c>
      <c r="I10" s="414">
        <v>0</v>
      </c>
      <c r="J10" s="414">
        <v>0</v>
      </c>
      <c r="K10" s="414">
        <v>0</v>
      </c>
      <c r="L10" s="414">
        <v>0</v>
      </c>
      <c r="M10" s="414">
        <v>0</v>
      </c>
      <c r="N10" s="414">
        <v>0</v>
      </c>
      <c r="O10" s="414">
        <v>0</v>
      </c>
      <c r="P10" s="414">
        <v>0</v>
      </c>
      <c r="Q10" s="414">
        <v>0</v>
      </c>
      <c r="R10" s="414">
        <v>0</v>
      </c>
      <c r="S10" s="414">
        <v>0</v>
      </c>
      <c r="T10" s="414">
        <v>0</v>
      </c>
      <c r="U10" s="414">
        <v>0</v>
      </c>
      <c r="V10" s="414">
        <v>0</v>
      </c>
      <c r="W10" s="414">
        <v>2282</v>
      </c>
      <c r="X10" s="414">
        <v>0</v>
      </c>
      <c r="Y10" s="414">
        <v>0</v>
      </c>
      <c r="Z10" s="414">
        <v>0</v>
      </c>
      <c r="AA10" s="414">
        <v>0</v>
      </c>
      <c r="AB10" s="414">
        <v>0</v>
      </c>
      <c r="AC10" s="414">
        <v>0</v>
      </c>
      <c r="AD10" s="414">
        <v>0</v>
      </c>
      <c r="AE10" s="414">
        <v>0</v>
      </c>
    </row>
    <row r="11" spans="1:52">
      <c r="B11" s="462" t="s">
        <v>59</v>
      </c>
      <c r="C11" s="414">
        <v>94</v>
      </c>
      <c r="D11" s="414">
        <v>44</v>
      </c>
      <c r="E11" s="414">
        <v>42</v>
      </c>
      <c r="F11" s="414">
        <v>102</v>
      </c>
      <c r="G11" s="414">
        <v>361</v>
      </c>
      <c r="H11" s="414">
        <v>477</v>
      </c>
      <c r="I11" s="414">
        <v>647</v>
      </c>
      <c r="J11" s="414">
        <v>632</v>
      </c>
      <c r="K11" s="414">
        <v>726</v>
      </c>
      <c r="L11" s="414">
        <v>696</v>
      </c>
      <c r="M11" s="414">
        <v>701</v>
      </c>
      <c r="N11" s="414">
        <v>610</v>
      </c>
      <c r="O11" s="414">
        <f>433-1</f>
        <v>432</v>
      </c>
      <c r="P11" s="414">
        <v>360</v>
      </c>
      <c r="Q11" s="414">
        <v>427</v>
      </c>
      <c r="R11" s="414">
        <v>406</v>
      </c>
      <c r="S11" s="414">
        <v>455</v>
      </c>
      <c r="T11" s="414">
        <v>416</v>
      </c>
      <c r="U11" s="414">
        <v>319</v>
      </c>
      <c r="V11" s="414">
        <v>205</v>
      </c>
      <c r="W11" s="414">
        <v>95</v>
      </c>
      <c r="X11" s="414">
        <v>33</v>
      </c>
      <c r="Y11" s="414">
        <v>8</v>
      </c>
      <c r="Z11" s="414">
        <v>5</v>
      </c>
      <c r="AA11" s="414">
        <v>23</v>
      </c>
      <c r="AB11" s="414">
        <v>10</v>
      </c>
      <c r="AC11" s="414">
        <v>5</v>
      </c>
      <c r="AD11" s="414">
        <v>105</v>
      </c>
      <c r="AE11" s="414">
        <v>154</v>
      </c>
    </row>
    <row r="12" spans="1:52">
      <c r="B12" s="462" t="s">
        <v>60</v>
      </c>
      <c r="C12" s="414">
        <v>316</v>
      </c>
      <c r="D12" s="414">
        <v>974</v>
      </c>
      <c r="E12" s="414">
        <v>181</v>
      </c>
      <c r="F12" s="414">
        <v>268</v>
      </c>
      <c r="G12" s="414">
        <v>228</v>
      </c>
      <c r="H12" s="414">
        <v>739</v>
      </c>
      <c r="I12" s="414">
        <v>134</v>
      </c>
      <c r="J12" s="414">
        <v>190</v>
      </c>
      <c r="K12" s="414">
        <v>246</v>
      </c>
      <c r="L12" s="414">
        <f>640+33</f>
        <v>673</v>
      </c>
      <c r="M12" s="414">
        <v>95</v>
      </c>
      <c r="N12" s="414">
        <v>140</v>
      </c>
      <c r="O12" s="414">
        <v>139</v>
      </c>
      <c r="P12" s="414">
        <v>649</v>
      </c>
      <c r="Q12" s="414">
        <v>103</v>
      </c>
      <c r="R12" s="414">
        <v>227</v>
      </c>
      <c r="S12" s="414">
        <v>200</v>
      </c>
      <c r="T12" s="414">
        <v>707</v>
      </c>
      <c r="U12" s="414">
        <v>237</v>
      </c>
      <c r="V12" s="414">
        <v>117</v>
      </c>
      <c r="W12" s="414">
        <v>205</v>
      </c>
      <c r="X12" s="414">
        <v>510</v>
      </c>
      <c r="Y12" s="414">
        <v>219</v>
      </c>
      <c r="Z12" s="414">
        <v>107</v>
      </c>
      <c r="AA12" s="414">
        <v>689</v>
      </c>
      <c r="AB12" s="414">
        <v>659</v>
      </c>
      <c r="AC12" s="414">
        <v>208</v>
      </c>
      <c r="AD12" s="414">
        <v>201</v>
      </c>
      <c r="AE12" s="414">
        <v>503</v>
      </c>
    </row>
    <row r="13" spans="1:52">
      <c r="B13" s="462" t="s">
        <v>239</v>
      </c>
      <c r="C13" s="414">
        <v>377</v>
      </c>
      <c r="D13" s="414">
        <v>262</v>
      </c>
      <c r="E13" s="414">
        <v>230</v>
      </c>
      <c r="F13" s="414">
        <v>198</v>
      </c>
      <c r="G13" s="414">
        <v>351</v>
      </c>
      <c r="H13" s="414">
        <v>241</v>
      </c>
      <c r="I13" s="414">
        <v>194</v>
      </c>
      <c r="J13" s="414">
        <v>157</v>
      </c>
      <c r="K13" s="414">
        <v>258</v>
      </c>
      <c r="L13" s="414">
        <v>112</v>
      </c>
      <c r="M13" s="414">
        <v>103</v>
      </c>
      <c r="N13" s="414">
        <v>93</v>
      </c>
      <c r="O13" s="414">
        <v>207</v>
      </c>
      <c r="P13" s="414">
        <v>144</v>
      </c>
      <c r="Q13" s="414">
        <v>146</v>
      </c>
      <c r="R13" s="414">
        <v>128</v>
      </c>
      <c r="S13" s="414">
        <v>291</v>
      </c>
      <c r="T13" s="414">
        <v>209</v>
      </c>
      <c r="U13" s="414">
        <v>159</v>
      </c>
      <c r="V13" s="414">
        <v>131</v>
      </c>
      <c r="W13" s="414">
        <v>313</v>
      </c>
      <c r="X13" s="414">
        <v>171</v>
      </c>
      <c r="Y13" s="414">
        <v>158</v>
      </c>
      <c r="Z13" s="414">
        <v>151</v>
      </c>
      <c r="AA13" s="414">
        <v>222</v>
      </c>
      <c r="AB13" s="414">
        <v>123</v>
      </c>
      <c r="AC13" s="414">
        <v>102</v>
      </c>
      <c r="AD13" s="414">
        <v>117</v>
      </c>
      <c r="AE13" s="414">
        <v>238</v>
      </c>
    </row>
    <row r="14" spans="1:52">
      <c r="B14" s="462" t="s">
        <v>61</v>
      </c>
      <c r="C14" s="414">
        <v>226</v>
      </c>
      <c r="D14" s="414">
        <v>235</v>
      </c>
      <c r="E14" s="414">
        <v>245</v>
      </c>
      <c r="F14" s="414">
        <v>231</v>
      </c>
      <c r="G14" s="414">
        <v>253</v>
      </c>
      <c r="H14" s="414">
        <v>224</v>
      </c>
      <c r="I14" s="414">
        <v>217</v>
      </c>
      <c r="J14" s="414">
        <v>219</v>
      </c>
      <c r="K14" s="414">
        <v>248</v>
      </c>
      <c r="L14" s="414">
        <v>147</v>
      </c>
      <c r="M14" s="414">
        <v>129</v>
      </c>
      <c r="N14" s="414">
        <v>126</v>
      </c>
      <c r="O14" s="414">
        <v>150</v>
      </c>
      <c r="P14" s="414">
        <v>137</v>
      </c>
      <c r="Q14" s="414">
        <v>148</v>
      </c>
      <c r="R14" s="414">
        <v>141</v>
      </c>
      <c r="S14" s="414">
        <v>164</v>
      </c>
      <c r="T14" s="414">
        <v>164</v>
      </c>
      <c r="U14" s="414">
        <v>143</v>
      </c>
      <c r="V14" s="414">
        <v>304</v>
      </c>
      <c r="W14" s="414">
        <v>347</v>
      </c>
      <c r="X14" s="414">
        <v>367</v>
      </c>
      <c r="Y14" s="414">
        <v>361</v>
      </c>
      <c r="Z14" s="414">
        <v>391</v>
      </c>
      <c r="AA14" s="414">
        <v>445</v>
      </c>
      <c r="AB14" s="414">
        <v>452</v>
      </c>
      <c r="AC14" s="414">
        <v>358</v>
      </c>
      <c r="AD14" s="414">
        <v>338</v>
      </c>
      <c r="AE14" s="414">
        <v>342</v>
      </c>
    </row>
    <row r="15" spans="1:52">
      <c r="B15" s="462" t="s">
        <v>62</v>
      </c>
      <c r="C15" s="414">
        <v>10</v>
      </c>
      <c r="D15" s="414">
        <v>35</v>
      </c>
      <c r="E15" s="414">
        <v>35</v>
      </c>
      <c r="F15" s="414">
        <v>51</v>
      </c>
      <c r="G15" s="414">
        <v>65</v>
      </c>
      <c r="H15" s="414">
        <v>55</v>
      </c>
      <c r="I15" s="414">
        <v>40</v>
      </c>
      <c r="J15" s="414">
        <v>27</v>
      </c>
      <c r="K15" s="414">
        <v>26</v>
      </c>
      <c r="L15" s="414">
        <v>45</v>
      </c>
      <c r="M15" s="414">
        <v>32</v>
      </c>
      <c r="N15" s="414">
        <v>43</v>
      </c>
      <c r="O15" s="414">
        <v>42</v>
      </c>
      <c r="P15" s="414">
        <v>22</v>
      </c>
      <c r="Q15" s="414">
        <v>22</v>
      </c>
      <c r="R15" s="414">
        <v>8</v>
      </c>
      <c r="S15" s="414">
        <v>13</v>
      </c>
      <c r="T15" s="414">
        <v>11</v>
      </c>
      <c r="U15" s="414">
        <v>11</v>
      </c>
      <c r="V15" s="414">
        <v>11</v>
      </c>
      <c r="W15" s="414">
        <v>12</v>
      </c>
      <c r="X15" s="414">
        <v>11</v>
      </c>
      <c r="Y15" s="414">
        <v>12</v>
      </c>
      <c r="Z15" s="414">
        <v>3</v>
      </c>
      <c r="AA15" s="414">
        <v>2</v>
      </c>
      <c r="AB15" s="414">
        <v>5</v>
      </c>
      <c r="AC15" s="414">
        <v>5</v>
      </c>
      <c r="AD15" s="414">
        <v>26</v>
      </c>
      <c r="AE15" s="414">
        <v>27</v>
      </c>
    </row>
    <row r="16" spans="1:52">
      <c r="B16" s="462" t="s">
        <v>12</v>
      </c>
      <c r="C16" s="414">
        <v>228</v>
      </c>
      <c r="D16" s="414">
        <v>537</v>
      </c>
      <c r="E16" s="414">
        <v>573</v>
      </c>
      <c r="F16" s="414">
        <v>794</v>
      </c>
      <c r="G16" s="414">
        <v>730</v>
      </c>
      <c r="H16" s="414">
        <v>502</v>
      </c>
      <c r="I16" s="414">
        <v>400</v>
      </c>
      <c r="J16" s="414">
        <v>407</v>
      </c>
      <c r="K16" s="414">
        <v>427</v>
      </c>
      <c r="L16" s="414">
        <v>648</v>
      </c>
      <c r="M16" s="414">
        <v>464</v>
      </c>
      <c r="N16" s="414">
        <v>511</v>
      </c>
      <c r="O16" s="414">
        <v>507</v>
      </c>
      <c r="P16" s="414">
        <v>507</v>
      </c>
      <c r="Q16" s="414">
        <v>445</v>
      </c>
      <c r="R16" s="414">
        <v>484</v>
      </c>
      <c r="S16" s="414">
        <v>497</v>
      </c>
      <c r="T16" s="414">
        <v>487</v>
      </c>
      <c r="U16" s="414">
        <v>409</v>
      </c>
      <c r="V16" s="414">
        <v>335</v>
      </c>
      <c r="W16" s="414">
        <v>341</v>
      </c>
      <c r="X16" s="414">
        <v>321</v>
      </c>
      <c r="Y16" s="414">
        <v>336</v>
      </c>
      <c r="Z16" s="414">
        <v>359</v>
      </c>
      <c r="AA16" s="414">
        <v>394</v>
      </c>
      <c r="AB16" s="414">
        <v>368</v>
      </c>
      <c r="AC16" s="414">
        <v>365</v>
      </c>
      <c r="AD16" s="414">
        <v>346</v>
      </c>
      <c r="AE16" s="414">
        <v>373</v>
      </c>
    </row>
    <row r="17" spans="1:31">
      <c r="B17" s="462" t="s">
        <v>65</v>
      </c>
      <c r="C17" s="414">
        <v>51</v>
      </c>
      <c r="D17" s="414">
        <v>14</v>
      </c>
      <c r="E17" s="414">
        <v>4</v>
      </c>
      <c r="F17" s="414">
        <v>2</v>
      </c>
      <c r="G17" s="414">
        <v>1</v>
      </c>
      <c r="H17" s="414">
        <v>0</v>
      </c>
      <c r="I17" s="414">
        <v>0</v>
      </c>
      <c r="J17" s="414">
        <v>0</v>
      </c>
      <c r="K17" s="414">
        <v>0</v>
      </c>
      <c r="L17" s="414">
        <v>0</v>
      </c>
      <c r="M17" s="414">
        <v>0</v>
      </c>
      <c r="N17" s="414">
        <v>0</v>
      </c>
      <c r="O17" s="414">
        <v>0</v>
      </c>
      <c r="P17" s="414">
        <v>0</v>
      </c>
      <c r="Q17" s="414">
        <v>0</v>
      </c>
      <c r="R17" s="414">
        <v>0</v>
      </c>
      <c r="S17" s="414">
        <v>0</v>
      </c>
      <c r="T17" s="414">
        <v>0</v>
      </c>
      <c r="U17" s="414">
        <v>0</v>
      </c>
      <c r="V17" s="414">
        <v>0</v>
      </c>
      <c r="W17" s="414">
        <v>0</v>
      </c>
      <c r="X17" s="414">
        <v>0</v>
      </c>
      <c r="Y17" s="414">
        <v>0</v>
      </c>
      <c r="Z17" s="414">
        <v>0</v>
      </c>
      <c r="AA17" s="414">
        <v>0</v>
      </c>
      <c r="AB17" s="414">
        <v>0</v>
      </c>
      <c r="AC17" s="414">
        <v>0</v>
      </c>
      <c r="AD17" s="414">
        <v>0</v>
      </c>
      <c r="AE17" s="414">
        <v>0</v>
      </c>
    </row>
    <row r="18" spans="1:31" s="467" customFormat="1">
      <c r="B18" s="462" t="s">
        <v>63</v>
      </c>
      <c r="C18" s="471">
        <v>57</v>
      </c>
      <c r="D18" s="471">
        <v>206</v>
      </c>
      <c r="E18" s="471">
        <v>215</v>
      </c>
      <c r="F18" s="471">
        <v>129</v>
      </c>
      <c r="G18" s="471">
        <v>167</v>
      </c>
      <c r="H18" s="471">
        <v>327</v>
      </c>
      <c r="I18" s="471">
        <v>164</v>
      </c>
      <c r="J18" s="471">
        <v>128</v>
      </c>
      <c r="K18" s="471">
        <v>102</v>
      </c>
      <c r="L18" s="471">
        <v>299</v>
      </c>
      <c r="M18" s="471">
        <v>175</v>
      </c>
      <c r="N18" s="471">
        <v>97</v>
      </c>
      <c r="O18" s="471">
        <v>136</v>
      </c>
      <c r="P18" s="471">
        <v>396</v>
      </c>
      <c r="Q18" s="471">
        <v>226</v>
      </c>
      <c r="R18" s="471">
        <v>152</v>
      </c>
      <c r="S18" s="471">
        <v>173</v>
      </c>
      <c r="T18" s="471">
        <v>321</v>
      </c>
      <c r="U18" s="471">
        <v>226</v>
      </c>
      <c r="V18" s="471">
        <v>185</v>
      </c>
      <c r="W18" s="471">
        <v>212</v>
      </c>
      <c r="X18" s="471">
        <v>418</v>
      </c>
      <c r="Y18" s="471">
        <v>321</v>
      </c>
      <c r="Z18" s="471">
        <v>259</v>
      </c>
      <c r="AA18" s="471">
        <v>377</v>
      </c>
      <c r="AB18" s="471">
        <v>444</v>
      </c>
      <c r="AC18" s="471">
        <v>355</v>
      </c>
      <c r="AD18" s="471">
        <v>502</v>
      </c>
      <c r="AE18" s="471">
        <v>307</v>
      </c>
    </row>
    <row r="19" spans="1:31">
      <c r="B19" s="467" t="s">
        <v>13</v>
      </c>
      <c r="C19" s="472">
        <f>SUM(C9:C18)</f>
        <v>4201</v>
      </c>
      <c r="D19" s="472">
        <f>SUM(D9:D18)</f>
        <v>5265</v>
      </c>
      <c r="E19" s="472">
        <f>SUM(E9:E18)</f>
        <v>4513</v>
      </c>
      <c r="F19" s="472">
        <f>SUM(F9:F18)</f>
        <v>4503</v>
      </c>
      <c r="G19" s="472">
        <f>SUM(G9:G18)</f>
        <v>4516</v>
      </c>
      <c r="H19" s="472">
        <f t="shared" ref="H19:L19" si="0">SUM(H9:H18)</f>
        <v>5333</v>
      </c>
      <c r="I19" s="472">
        <f t="shared" si="0"/>
        <v>4491</v>
      </c>
      <c r="J19" s="472">
        <f t="shared" si="0"/>
        <v>3974</v>
      </c>
      <c r="K19" s="472">
        <f t="shared" si="0"/>
        <v>4156</v>
      </c>
      <c r="L19" s="472">
        <f t="shared" si="0"/>
        <v>5432</v>
      </c>
      <c r="M19" s="472">
        <f t="shared" ref="M19:R19" si="1">SUM(M9:M18)</f>
        <v>4357</v>
      </c>
      <c r="N19" s="472">
        <f t="shared" si="1"/>
        <v>3954</v>
      </c>
      <c r="O19" s="472">
        <f t="shared" si="1"/>
        <v>4082</v>
      </c>
      <c r="P19" s="472">
        <f t="shared" si="1"/>
        <v>5380</v>
      </c>
      <c r="Q19" s="472">
        <f t="shared" si="1"/>
        <v>4566</v>
      </c>
      <c r="R19" s="472">
        <f t="shared" si="1"/>
        <v>4332</v>
      </c>
      <c r="S19" s="472">
        <f t="shared" ref="S19:T19" si="2">SUM(S9:S18)</f>
        <v>4702</v>
      </c>
      <c r="T19" s="472">
        <f t="shared" si="2"/>
        <v>6274</v>
      </c>
      <c r="U19" s="472">
        <f t="shared" ref="U19:V19" si="3">SUM(U9:U18)</f>
        <v>5803</v>
      </c>
      <c r="V19" s="472">
        <f t="shared" si="3"/>
        <v>5629</v>
      </c>
      <c r="W19" s="472">
        <f t="shared" ref="W19:X19" si="4">SUM(W9:W18)</f>
        <v>8251</v>
      </c>
      <c r="X19" s="472">
        <f t="shared" si="4"/>
        <v>6241</v>
      </c>
      <c r="Y19" s="472">
        <f t="shared" ref="Y19:Z19" si="5">SUM(Y9:Y18)</f>
        <v>5694</v>
      </c>
      <c r="Z19" s="472">
        <f t="shared" si="5"/>
        <v>5474</v>
      </c>
      <c r="AA19" s="472">
        <f t="shared" ref="AA19:AB19" si="6">SUM(AA9:AA18)</f>
        <v>5957</v>
      </c>
      <c r="AB19" s="472">
        <f t="shared" si="6"/>
        <v>6909</v>
      </c>
      <c r="AC19" s="472">
        <f t="shared" ref="AC19:AD19" si="7">SUM(AC9:AC18)</f>
        <v>5863</v>
      </c>
      <c r="AD19" s="472">
        <f t="shared" si="7"/>
        <v>6051</v>
      </c>
      <c r="AE19" s="472">
        <f>SUM(AE9:AE18)</f>
        <v>6309</v>
      </c>
    </row>
    <row r="20" spans="1:31">
      <c r="C20" s="414"/>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row>
    <row r="21" spans="1:31">
      <c r="B21" s="462" t="s">
        <v>64</v>
      </c>
      <c r="C21" s="414">
        <v>86</v>
      </c>
      <c r="D21" s="414">
        <v>78</v>
      </c>
      <c r="E21" s="414">
        <v>79</v>
      </c>
      <c r="F21" s="414">
        <v>23</v>
      </c>
      <c r="G21" s="414">
        <v>22</v>
      </c>
      <c r="H21" s="414">
        <v>23</v>
      </c>
      <c r="I21" s="414">
        <v>23</v>
      </c>
      <c r="J21" s="414">
        <v>23</v>
      </c>
      <c r="K21" s="414">
        <v>23</v>
      </c>
      <c r="L21" s="414">
        <v>23</v>
      </c>
      <c r="M21" s="414">
        <v>25</v>
      </c>
      <c r="N21" s="414">
        <v>25</v>
      </c>
      <c r="O21" s="414">
        <v>25</v>
      </c>
      <c r="P21" s="414">
        <v>16</v>
      </c>
      <c r="Q21" s="414">
        <v>17</v>
      </c>
      <c r="R21" s="414">
        <v>17</v>
      </c>
      <c r="S21" s="414">
        <v>19</v>
      </c>
      <c r="T21" s="414">
        <v>8</v>
      </c>
      <c r="U21" s="414">
        <v>9</v>
      </c>
      <c r="V21" s="414">
        <v>9</v>
      </c>
      <c r="W21" s="414">
        <v>9</v>
      </c>
      <c r="X21" s="414">
        <v>9</v>
      </c>
      <c r="Y21" s="414">
        <v>9</v>
      </c>
      <c r="Z21" s="414">
        <v>9</v>
      </c>
      <c r="AA21" s="414">
        <v>9</v>
      </c>
      <c r="AB21" s="414">
        <v>9</v>
      </c>
      <c r="AC21" s="414">
        <v>9</v>
      </c>
      <c r="AD21" s="414">
        <v>9</v>
      </c>
      <c r="AE21" s="414">
        <v>9</v>
      </c>
    </row>
    <row r="22" spans="1:31" s="467" customFormat="1">
      <c r="B22" s="462" t="s">
        <v>61</v>
      </c>
      <c r="C22" s="414">
        <v>20</v>
      </c>
      <c r="D22" s="414">
        <v>1</v>
      </c>
      <c r="E22" s="414">
        <v>6</v>
      </c>
      <c r="F22" s="414">
        <v>16</v>
      </c>
      <c r="G22" s="414">
        <v>15</v>
      </c>
      <c r="H22" s="414">
        <v>10</v>
      </c>
      <c r="I22" s="414">
        <v>4</v>
      </c>
      <c r="J22" s="414">
        <v>30</v>
      </c>
      <c r="K22" s="414">
        <v>37</v>
      </c>
      <c r="L22" s="414">
        <v>55</v>
      </c>
      <c r="M22" s="414">
        <v>65</v>
      </c>
      <c r="N22" s="414">
        <v>90</v>
      </c>
      <c r="O22" s="414">
        <v>114</v>
      </c>
      <c r="P22" s="414">
        <v>62</v>
      </c>
      <c r="Q22" s="414">
        <v>91</v>
      </c>
      <c r="R22" s="414">
        <v>123</v>
      </c>
      <c r="S22" s="414">
        <v>156</v>
      </c>
      <c r="T22" s="414">
        <v>129</v>
      </c>
      <c r="U22" s="414">
        <v>160</v>
      </c>
      <c r="V22" s="414">
        <v>35</v>
      </c>
      <c r="W22" s="414">
        <v>54</v>
      </c>
      <c r="X22" s="414">
        <v>21</v>
      </c>
      <c r="Y22" s="414">
        <v>44</v>
      </c>
      <c r="Z22" s="414">
        <v>68</v>
      </c>
      <c r="AA22" s="414">
        <v>78</v>
      </c>
      <c r="AB22" s="414">
        <v>20</v>
      </c>
      <c r="AC22" s="414">
        <v>46</v>
      </c>
      <c r="AD22" s="414">
        <v>80</v>
      </c>
      <c r="AE22" s="414">
        <v>73</v>
      </c>
    </row>
    <row r="23" spans="1:31" s="467" customFormat="1">
      <c r="B23" s="462" t="s">
        <v>62</v>
      </c>
      <c r="C23" s="414">
        <v>0</v>
      </c>
      <c r="D23" s="414">
        <v>5</v>
      </c>
      <c r="E23" s="414">
        <v>5</v>
      </c>
      <c r="F23" s="414">
        <v>5</v>
      </c>
      <c r="G23" s="414">
        <v>0</v>
      </c>
      <c r="H23" s="414">
        <v>28</v>
      </c>
      <c r="I23" s="414">
        <v>29</v>
      </c>
      <c r="J23" s="414">
        <v>32</v>
      </c>
      <c r="K23" s="414">
        <v>36</v>
      </c>
      <c r="L23" s="414">
        <v>28</v>
      </c>
      <c r="M23" s="414">
        <v>29</v>
      </c>
      <c r="N23" s="414">
        <v>16</v>
      </c>
      <c r="O23" s="414">
        <v>13</v>
      </c>
      <c r="P23" s="414">
        <v>12</v>
      </c>
      <c r="Q23" s="414">
        <v>12</v>
      </c>
      <c r="R23" s="414">
        <v>12</v>
      </c>
      <c r="S23" s="414">
        <v>4</v>
      </c>
      <c r="T23" s="414">
        <v>30</v>
      </c>
      <c r="U23" s="414">
        <v>10</v>
      </c>
      <c r="V23" s="414">
        <v>0</v>
      </c>
      <c r="W23" s="414">
        <v>0</v>
      </c>
      <c r="X23" s="414">
        <v>0</v>
      </c>
      <c r="Y23" s="414">
        <v>0</v>
      </c>
      <c r="Z23" s="414">
        <v>0</v>
      </c>
      <c r="AA23" s="414">
        <v>0</v>
      </c>
      <c r="AB23" s="414">
        <v>18</v>
      </c>
      <c r="AC23" s="414">
        <v>18</v>
      </c>
      <c r="AD23" s="414">
        <v>0</v>
      </c>
      <c r="AE23" s="414">
        <v>0</v>
      </c>
    </row>
    <row r="24" spans="1:31" s="467" customFormat="1">
      <c r="B24" s="462" t="s">
        <v>15</v>
      </c>
      <c r="C24" s="414">
        <v>168</v>
      </c>
      <c r="D24" s="414">
        <v>149</v>
      </c>
      <c r="E24" s="414">
        <v>138</v>
      </c>
      <c r="F24" s="414">
        <v>134</v>
      </c>
      <c r="G24" s="414">
        <v>133</v>
      </c>
      <c r="H24" s="414">
        <v>138</v>
      </c>
      <c r="I24" s="414">
        <v>131</v>
      </c>
      <c r="J24" s="414">
        <v>160</v>
      </c>
      <c r="K24" s="414">
        <v>169</v>
      </c>
      <c r="L24" s="414">
        <v>169</v>
      </c>
      <c r="M24" s="414">
        <v>165</v>
      </c>
      <c r="N24" s="414">
        <v>163</v>
      </c>
      <c r="O24" s="414">
        <v>167</v>
      </c>
      <c r="P24" s="414">
        <v>163</v>
      </c>
      <c r="Q24" s="414">
        <v>154</v>
      </c>
      <c r="R24" s="414">
        <v>149</v>
      </c>
      <c r="S24" s="414">
        <v>148</v>
      </c>
      <c r="T24" s="414">
        <v>141</v>
      </c>
      <c r="U24" s="414">
        <v>133</v>
      </c>
      <c r="V24" s="414">
        <v>132</v>
      </c>
      <c r="W24" s="414">
        <v>139</v>
      </c>
      <c r="X24" s="414">
        <v>138</v>
      </c>
      <c r="Y24" s="414">
        <v>152</v>
      </c>
      <c r="Z24" s="414">
        <v>162</v>
      </c>
      <c r="AA24" s="414">
        <v>162</v>
      </c>
      <c r="AB24" s="414">
        <v>157</v>
      </c>
      <c r="AC24" s="414">
        <v>158</v>
      </c>
      <c r="AD24" s="414">
        <v>179</v>
      </c>
      <c r="AE24" s="414">
        <v>200</v>
      </c>
    </row>
    <row r="25" spans="1:31" s="467" customFormat="1">
      <c r="B25" s="462" t="s">
        <v>72</v>
      </c>
      <c r="C25" s="414">
        <v>80</v>
      </c>
      <c r="D25" s="414">
        <v>0</v>
      </c>
      <c r="E25" s="414">
        <v>0</v>
      </c>
      <c r="F25" s="414">
        <v>0</v>
      </c>
      <c r="G25" s="414">
        <v>0</v>
      </c>
      <c r="H25" s="414">
        <v>0</v>
      </c>
      <c r="I25" s="414">
        <v>0</v>
      </c>
      <c r="J25" s="414">
        <v>0</v>
      </c>
      <c r="K25" s="414">
        <v>0</v>
      </c>
      <c r="L25" s="414">
        <v>0</v>
      </c>
      <c r="M25" s="414">
        <v>0</v>
      </c>
      <c r="N25" s="414">
        <v>0</v>
      </c>
      <c r="O25" s="414">
        <v>0</v>
      </c>
      <c r="P25" s="414">
        <v>0</v>
      </c>
      <c r="Q25" s="414">
        <v>0</v>
      </c>
      <c r="R25" s="414">
        <v>0</v>
      </c>
      <c r="S25" s="414">
        <v>0</v>
      </c>
      <c r="T25" s="414">
        <v>0</v>
      </c>
      <c r="U25" s="414">
        <v>0</v>
      </c>
      <c r="V25" s="414">
        <v>0</v>
      </c>
      <c r="W25" s="414">
        <v>0</v>
      </c>
      <c r="X25" s="414">
        <v>0</v>
      </c>
      <c r="Y25" s="414">
        <v>0</v>
      </c>
      <c r="Z25" s="414">
        <v>0</v>
      </c>
      <c r="AA25" s="414">
        <v>0</v>
      </c>
      <c r="AB25" s="414">
        <v>0</v>
      </c>
      <c r="AC25" s="414">
        <v>0</v>
      </c>
      <c r="AD25" s="414">
        <v>0</v>
      </c>
      <c r="AE25" s="414">
        <v>0</v>
      </c>
    </row>
    <row r="26" spans="1:31" s="467" customFormat="1">
      <c r="B26" s="462" t="s">
        <v>9</v>
      </c>
      <c r="C26" s="414">
        <v>21</v>
      </c>
      <c r="D26" s="414">
        <v>25</v>
      </c>
      <c r="E26" s="414">
        <v>18</v>
      </c>
      <c r="F26" s="414">
        <v>11</v>
      </c>
      <c r="G26" s="414">
        <v>7</v>
      </c>
      <c r="H26" s="414">
        <v>9</v>
      </c>
      <c r="I26" s="414">
        <v>11</v>
      </c>
      <c r="J26" s="414">
        <v>13</v>
      </c>
      <c r="K26" s="414">
        <v>14</v>
      </c>
      <c r="L26" s="414">
        <v>15</v>
      </c>
      <c r="M26" s="414">
        <v>17</v>
      </c>
      <c r="N26" s="414">
        <v>16</v>
      </c>
      <c r="O26" s="414">
        <v>15</v>
      </c>
      <c r="P26" s="414">
        <v>12</v>
      </c>
      <c r="Q26" s="414">
        <v>15</v>
      </c>
      <c r="R26" s="414">
        <v>12</v>
      </c>
      <c r="S26" s="414">
        <v>12</v>
      </c>
      <c r="T26" s="414">
        <v>11</v>
      </c>
      <c r="U26" s="414">
        <v>10</v>
      </c>
      <c r="V26" s="414">
        <v>10</v>
      </c>
      <c r="W26" s="414">
        <v>18</v>
      </c>
      <c r="X26" s="414">
        <v>35</v>
      </c>
      <c r="Y26" s="414">
        <v>66</v>
      </c>
      <c r="Z26" s="414">
        <v>86</v>
      </c>
      <c r="AA26" s="414">
        <v>90</v>
      </c>
      <c r="AB26" s="414">
        <v>85</v>
      </c>
      <c r="AC26" s="414">
        <v>138</v>
      </c>
      <c r="AD26" s="414">
        <v>153</v>
      </c>
      <c r="AE26" s="414">
        <v>171</v>
      </c>
    </row>
    <row r="27" spans="1:31" s="467" customFormat="1">
      <c r="B27" s="462" t="s">
        <v>65</v>
      </c>
      <c r="C27" s="414">
        <v>1462</v>
      </c>
      <c r="D27" s="414">
        <v>1283</v>
      </c>
      <c r="E27" s="414">
        <v>1244</v>
      </c>
      <c r="F27" s="414">
        <v>1206</v>
      </c>
      <c r="G27" s="414">
        <v>1168</v>
      </c>
      <c r="H27" s="414">
        <v>618</v>
      </c>
      <c r="I27" s="414">
        <v>599</v>
      </c>
      <c r="J27" s="414">
        <v>587</v>
      </c>
      <c r="K27" s="414">
        <v>566</v>
      </c>
      <c r="L27" s="414">
        <v>160</v>
      </c>
      <c r="M27" s="414">
        <v>152</v>
      </c>
      <c r="N27" s="414">
        <v>145</v>
      </c>
      <c r="O27" s="414">
        <v>138</v>
      </c>
      <c r="P27" s="414">
        <v>88</v>
      </c>
      <c r="Q27" s="414">
        <v>85</v>
      </c>
      <c r="R27" s="414">
        <v>83</v>
      </c>
      <c r="S27" s="414">
        <v>80</v>
      </c>
      <c r="T27" s="414">
        <v>68</v>
      </c>
      <c r="U27" s="414">
        <v>64</v>
      </c>
      <c r="V27" s="414">
        <v>61</v>
      </c>
      <c r="W27" s="414">
        <v>58</v>
      </c>
      <c r="X27" s="414">
        <v>43</v>
      </c>
      <c r="Y27" s="414">
        <v>41</v>
      </c>
      <c r="Z27" s="414">
        <v>39</v>
      </c>
      <c r="AA27" s="414">
        <v>38</v>
      </c>
      <c r="AB27" s="414">
        <v>29</v>
      </c>
      <c r="AC27" s="414">
        <v>28</v>
      </c>
      <c r="AD27" s="414">
        <v>26</v>
      </c>
      <c r="AE27" s="414">
        <v>24</v>
      </c>
    </row>
    <row r="28" spans="1:31" s="467" customFormat="1">
      <c r="B28" s="462" t="s">
        <v>66</v>
      </c>
      <c r="C28" s="414">
        <v>433</v>
      </c>
      <c r="D28" s="414">
        <v>433</v>
      </c>
      <c r="E28" s="414">
        <v>433</v>
      </c>
      <c r="F28" s="414">
        <v>433</v>
      </c>
      <c r="G28" s="414">
        <v>433</v>
      </c>
      <c r="H28" s="414">
        <v>433</v>
      </c>
      <c r="I28" s="414">
        <v>433</v>
      </c>
      <c r="J28" s="414">
        <v>433</v>
      </c>
      <c r="K28" s="414">
        <v>433</v>
      </c>
      <c r="L28" s="414">
        <v>433</v>
      </c>
      <c r="M28" s="414">
        <v>433</v>
      </c>
      <c r="N28" s="414">
        <v>433</v>
      </c>
      <c r="O28" s="414">
        <v>433</v>
      </c>
      <c r="P28" s="414">
        <v>433</v>
      </c>
      <c r="Q28" s="414">
        <v>433</v>
      </c>
      <c r="R28" s="414">
        <v>433</v>
      </c>
      <c r="S28" s="414">
        <v>433</v>
      </c>
      <c r="T28" s="414">
        <v>433</v>
      </c>
      <c r="U28" s="414">
        <v>433</v>
      </c>
      <c r="V28" s="414">
        <v>433</v>
      </c>
      <c r="W28" s="414">
        <v>433</v>
      </c>
      <c r="X28" s="414">
        <v>433</v>
      </c>
      <c r="Y28" s="414">
        <v>433</v>
      </c>
      <c r="Z28" s="414">
        <v>433</v>
      </c>
      <c r="AA28" s="414">
        <v>433</v>
      </c>
      <c r="AB28" s="414">
        <v>433</v>
      </c>
      <c r="AC28" s="414">
        <v>433</v>
      </c>
      <c r="AD28" s="414">
        <v>433</v>
      </c>
      <c r="AE28" s="414">
        <v>433</v>
      </c>
    </row>
    <row r="29" spans="1:31">
      <c r="B29" s="462" t="s">
        <v>8</v>
      </c>
      <c r="C29" s="471">
        <v>7270</v>
      </c>
      <c r="D29" s="471">
        <v>7227</v>
      </c>
      <c r="E29" s="471">
        <v>7213</v>
      </c>
      <c r="F29" s="471">
        <v>7176</v>
      </c>
      <c r="G29" s="471">
        <v>7161</v>
      </c>
      <c r="H29" s="471">
        <v>7154</v>
      </c>
      <c r="I29" s="471">
        <v>7150</v>
      </c>
      <c r="J29" s="471">
        <v>7147</v>
      </c>
      <c r="K29" s="471">
        <v>7144</v>
      </c>
      <c r="L29" s="471">
        <v>7132</v>
      </c>
      <c r="M29" s="471">
        <v>7134</v>
      </c>
      <c r="N29" s="471">
        <v>7130</v>
      </c>
      <c r="O29" s="471">
        <v>7126</v>
      </c>
      <c r="P29" s="471">
        <v>7111</v>
      </c>
      <c r="Q29" s="471">
        <v>7109</v>
      </c>
      <c r="R29" s="471">
        <v>7108</v>
      </c>
      <c r="S29" s="471">
        <v>7107</v>
      </c>
      <c r="T29" s="471">
        <v>7106</v>
      </c>
      <c r="U29" s="471">
        <v>7103</v>
      </c>
      <c r="V29" s="471">
        <v>7102</v>
      </c>
      <c r="W29" s="471">
        <v>7098</v>
      </c>
      <c r="X29" s="471">
        <v>7092</v>
      </c>
      <c r="Y29" s="471">
        <v>7089</v>
      </c>
      <c r="Z29" s="471">
        <v>7089</v>
      </c>
      <c r="AA29" s="471">
        <v>7088</v>
      </c>
      <c r="AB29" s="471">
        <v>7086</v>
      </c>
      <c r="AC29" s="471">
        <v>7084</v>
      </c>
      <c r="AD29" s="471">
        <v>7084</v>
      </c>
      <c r="AE29" s="471">
        <v>7083</v>
      </c>
    </row>
    <row r="30" spans="1:31" ht="12.75" thickBot="1">
      <c r="B30" s="467" t="s">
        <v>20</v>
      </c>
      <c r="C30" s="473">
        <f>SUM(C19:C29)</f>
        <v>13741</v>
      </c>
      <c r="D30" s="473">
        <f t="shared" ref="D30:N30" si="8">SUM(D19:D29)</f>
        <v>14466</v>
      </c>
      <c r="E30" s="473">
        <f t="shared" si="8"/>
        <v>13649</v>
      </c>
      <c r="F30" s="473">
        <f>SUM(F19:F29)</f>
        <v>13507</v>
      </c>
      <c r="G30" s="473">
        <f>SUM(G19:G29)</f>
        <v>13455</v>
      </c>
      <c r="H30" s="473">
        <f t="shared" si="8"/>
        <v>13746</v>
      </c>
      <c r="I30" s="473">
        <f t="shared" si="8"/>
        <v>12871</v>
      </c>
      <c r="J30" s="473">
        <f t="shared" si="8"/>
        <v>12399</v>
      </c>
      <c r="K30" s="473">
        <f t="shared" si="8"/>
        <v>12578</v>
      </c>
      <c r="L30" s="473">
        <f t="shared" si="8"/>
        <v>13447</v>
      </c>
      <c r="M30" s="473">
        <f t="shared" si="8"/>
        <v>12377</v>
      </c>
      <c r="N30" s="473">
        <f t="shared" si="8"/>
        <v>11972</v>
      </c>
      <c r="O30" s="473">
        <f t="shared" ref="O30:P30" si="9">SUM(O19:O29)</f>
        <v>12113</v>
      </c>
      <c r="P30" s="473">
        <f t="shared" si="9"/>
        <v>13277</v>
      </c>
      <c r="Q30" s="473">
        <f t="shared" ref="Q30:R30" si="10">SUM(Q19:Q29)</f>
        <v>12482</v>
      </c>
      <c r="R30" s="473">
        <f t="shared" si="10"/>
        <v>12269</v>
      </c>
      <c r="S30" s="473">
        <f t="shared" ref="S30:T30" si="11">SUM(S19:S29)</f>
        <v>12661</v>
      </c>
      <c r="T30" s="473">
        <f t="shared" si="11"/>
        <v>14200</v>
      </c>
      <c r="U30" s="473">
        <f t="shared" ref="U30:V30" si="12">SUM(U19:U29)</f>
        <v>13725</v>
      </c>
      <c r="V30" s="473">
        <f t="shared" si="12"/>
        <v>13411</v>
      </c>
      <c r="W30" s="473">
        <f t="shared" ref="W30:X30" si="13">SUM(W19:W29)</f>
        <v>16060</v>
      </c>
      <c r="X30" s="473">
        <f t="shared" si="13"/>
        <v>14012</v>
      </c>
      <c r="Y30" s="473">
        <f t="shared" ref="Y30:Z30" si="14">SUM(Y19:Y29)</f>
        <v>13528</v>
      </c>
      <c r="Z30" s="473">
        <f t="shared" si="14"/>
        <v>13360</v>
      </c>
      <c r="AA30" s="473">
        <f t="shared" ref="AA30:AB30" si="15">SUM(AA19:AA29)</f>
        <v>13855</v>
      </c>
      <c r="AB30" s="473">
        <f t="shared" si="15"/>
        <v>14746</v>
      </c>
      <c r="AC30" s="473">
        <f t="shared" ref="AC30:AD30" si="16">SUM(AC19:AC29)</f>
        <v>13777</v>
      </c>
      <c r="AD30" s="473">
        <f t="shared" si="16"/>
        <v>14015</v>
      </c>
      <c r="AE30" s="473">
        <f>SUM(AE19:AE29)</f>
        <v>14302</v>
      </c>
    </row>
    <row r="31" spans="1:31">
      <c r="B31" s="467"/>
      <c r="C31" s="474"/>
      <c r="D31" s="474"/>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row>
    <row r="32" spans="1:31">
      <c r="A32" s="467" t="s">
        <v>16</v>
      </c>
      <c r="B32" s="467"/>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row>
    <row r="33" spans="2:31">
      <c r="B33" s="467"/>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row>
    <row r="34" spans="2:31">
      <c r="B34" s="462" t="s">
        <v>17</v>
      </c>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row>
    <row r="35" spans="2:31">
      <c r="B35" s="462" t="s">
        <v>67</v>
      </c>
      <c r="C35" s="470">
        <v>338</v>
      </c>
      <c r="D35" s="470">
        <v>319</v>
      </c>
      <c r="E35" s="470">
        <v>159</v>
      </c>
      <c r="F35" s="470">
        <v>121</v>
      </c>
      <c r="G35" s="470">
        <v>282</v>
      </c>
      <c r="H35" s="470">
        <v>302</v>
      </c>
      <c r="I35" s="470">
        <v>147</v>
      </c>
      <c r="J35" s="470">
        <v>149</v>
      </c>
      <c r="K35" s="470">
        <v>238</v>
      </c>
      <c r="L35" s="470">
        <v>363</v>
      </c>
      <c r="M35" s="470">
        <v>172</v>
      </c>
      <c r="N35" s="470">
        <v>156</v>
      </c>
      <c r="O35" s="470">
        <v>250</v>
      </c>
      <c r="P35" s="470">
        <v>390</v>
      </c>
      <c r="Q35" s="470">
        <v>181</v>
      </c>
      <c r="R35" s="470">
        <v>163</v>
      </c>
      <c r="S35" s="470">
        <v>253</v>
      </c>
      <c r="T35" s="470">
        <v>343</v>
      </c>
      <c r="U35" s="470">
        <v>186</v>
      </c>
      <c r="V35" s="470">
        <v>139</v>
      </c>
      <c r="W35" s="470">
        <v>286</v>
      </c>
      <c r="X35" s="470">
        <f>376-21</f>
        <v>355</v>
      </c>
      <c r="Y35" s="470">
        <v>166</v>
      </c>
      <c r="Z35" s="470">
        <v>167</v>
      </c>
      <c r="AA35" s="470">
        <v>266</v>
      </c>
      <c r="AB35" s="470">
        <v>325</v>
      </c>
      <c r="AC35" s="470">
        <v>123</v>
      </c>
      <c r="AD35" s="470">
        <v>198</v>
      </c>
      <c r="AE35" s="470">
        <v>309</v>
      </c>
    </row>
    <row r="36" spans="2:31" s="467" customFormat="1">
      <c r="B36" s="462" t="s">
        <v>68</v>
      </c>
      <c r="C36" s="414">
        <v>206</v>
      </c>
      <c r="D36" s="414">
        <v>923</v>
      </c>
      <c r="E36" s="414">
        <v>647</v>
      </c>
      <c r="F36" s="414">
        <v>423</v>
      </c>
      <c r="G36" s="414">
        <v>471</v>
      </c>
      <c r="H36" s="414">
        <v>1426</v>
      </c>
      <c r="I36" s="414">
        <v>772</v>
      </c>
      <c r="J36" s="414">
        <v>482</v>
      </c>
      <c r="K36" s="414">
        <v>622</v>
      </c>
      <c r="L36" s="414">
        <v>1726</v>
      </c>
      <c r="M36" s="414">
        <v>1043</v>
      </c>
      <c r="N36" s="414">
        <v>601</v>
      </c>
      <c r="O36" s="414">
        <v>487</v>
      </c>
      <c r="P36" s="414">
        <v>1472</v>
      </c>
      <c r="Q36" s="414">
        <v>917</v>
      </c>
      <c r="R36" s="414">
        <v>905</v>
      </c>
      <c r="S36" s="414">
        <v>847</v>
      </c>
      <c r="T36" s="414">
        <v>1657</v>
      </c>
      <c r="U36" s="414">
        <v>1125</v>
      </c>
      <c r="V36" s="414">
        <v>665</v>
      </c>
      <c r="W36" s="414">
        <v>641</v>
      </c>
      <c r="X36" s="414">
        <v>1389</v>
      </c>
      <c r="Y36" s="414">
        <v>1092</v>
      </c>
      <c r="Z36" s="414">
        <v>769</v>
      </c>
      <c r="AA36" s="414">
        <v>1305</v>
      </c>
      <c r="AB36" s="414">
        <v>1797</v>
      </c>
      <c r="AC36" s="414">
        <v>1161</v>
      </c>
      <c r="AD36" s="414">
        <v>837</v>
      </c>
      <c r="AE36" s="414">
        <v>907</v>
      </c>
    </row>
    <row r="37" spans="2:31" s="467" customFormat="1">
      <c r="B37" s="462" t="s">
        <v>69</v>
      </c>
      <c r="C37" s="414">
        <v>557</v>
      </c>
      <c r="D37" s="414">
        <v>844</v>
      </c>
      <c r="E37" s="414">
        <v>508</v>
      </c>
      <c r="F37" s="414">
        <v>539</v>
      </c>
      <c r="G37" s="414">
        <v>540</v>
      </c>
      <c r="H37" s="414">
        <v>788</v>
      </c>
      <c r="I37" s="414">
        <v>635</v>
      </c>
      <c r="J37" s="414">
        <v>473</v>
      </c>
      <c r="K37" s="414">
        <v>552</v>
      </c>
      <c r="L37" s="414">
        <v>871</v>
      </c>
      <c r="M37" s="414">
        <v>676</v>
      </c>
      <c r="N37" s="414">
        <v>489</v>
      </c>
      <c r="O37" s="414">
        <v>542</v>
      </c>
      <c r="P37" s="414">
        <v>694</v>
      </c>
      <c r="Q37" s="414">
        <v>676</v>
      </c>
      <c r="R37" s="414">
        <v>416</v>
      </c>
      <c r="S37" s="414">
        <v>455</v>
      </c>
      <c r="T37" s="414">
        <v>652</v>
      </c>
      <c r="U37" s="414">
        <v>588</v>
      </c>
      <c r="V37" s="414">
        <v>389</v>
      </c>
      <c r="W37" s="414">
        <v>506</v>
      </c>
      <c r="X37" s="414">
        <v>636</v>
      </c>
      <c r="Y37" s="414">
        <v>635</v>
      </c>
      <c r="Z37" s="414">
        <v>507</v>
      </c>
      <c r="AA37" s="414">
        <v>541</v>
      </c>
      <c r="AB37" s="414">
        <v>592</v>
      </c>
      <c r="AC37" s="414">
        <v>615</v>
      </c>
      <c r="AD37" s="414">
        <v>510</v>
      </c>
      <c r="AE37" s="414">
        <v>394</v>
      </c>
    </row>
    <row r="38" spans="2:31" s="467" customFormat="1">
      <c r="B38" s="462" t="s">
        <v>299</v>
      </c>
      <c r="C38" s="471">
        <v>0</v>
      </c>
      <c r="D38" s="471">
        <v>0</v>
      </c>
      <c r="E38" s="471">
        <v>0</v>
      </c>
      <c r="F38" s="471">
        <v>0</v>
      </c>
      <c r="G38" s="471">
        <v>0</v>
      </c>
      <c r="H38" s="471">
        <v>0</v>
      </c>
      <c r="I38" s="471">
        <v>0</v>
      </c>
      <c r="J38" s="471">
        <v>0</v>
      </c>
      <c r="K38" s="471">
        <v>0</v>
      </c>
      <c r="L38" s="471">
        <v>0</v>
      </c>
      <c r="M38" s="471">
        <v>0</v>
      </c>
      <c r="N38" s="471">
        <v>0</v>
      </c>
      <c r="O38" s="471">
        <v>0</v>
      </c>
      <c r="P38" s="471">
        <v>0</v>
      </c>
      <c r="Q38" s="471">
        <v>0</v>
      </c>
      <c r="R38" s="471">
        <v>0</v>
      </c>
      <c r="S38" s="471">
        <v>0</v>
      </c>
      <c r="T38" s="471">
        <v>0</v>
      </c>
      <c r="U38" s="471">
        <v>0</v>
      </c>
      <c r="V38" s="471">
        <v>0</v>
      </c>
      <c r="W38" s="471">
        <v>0</v>
      </c>
      <c r="X38" s="471">
        <v>25</v>
      </c>
      <c r="Y38" s="471">
        <v>0</v>
      </c>
      <c r="Z38" s="471">
        <v>0</v>
      </c>
      <c r="AA38" s="471">
        <v>0</v>
      </c>
      <c r="AB38" s="471">
        <v>0</v>
      </c>
      <c r="AC38" s="471">
        <v>0</v>
      </c>
      <c r="AD38" s="471">
        <v>0</v>
      </c>
      <c r="AE38" s="471">
        <v>0</v>
      </c>
    </row>
    <row r="39" spans="2:31">
      <c r="B39" s="467" t="s">
        <v>21</v>
      </c>
      <c r="C39" s="472">
        <f t="shared" ref="C39:L39" si="17">SUM(C35:C38)</f>
        <v>1101</v>
      </c>
      <c r="D39" s="472">
        <f t="shared" si="17"/>
        <v>2086</v>
      </c>
      <c r="E39" s="472">
        <f t="shared" si="17"/>
        <v>1314</v>
      </c>
      <c r="F39" s="472">
        <f t="shared" si="17"/>
        <v>1083</v>
      </c>
      <c r="G39" s="472">
        <f t="shared" si="17"/>
        <v>1293</v>
      </c>
      <c r="H39" s="472">
        <f t="shared" si="17"/>
        <v>2516</v>
      </c>
      <c r="I39" s="472">
        <f t="shared" si="17"/>
        <v>1554</v>
      </c>
      <c r="J39" s="472">
        <f t="shared" si="17"/>
        <v>1104</v>
      </c>
      <c r="K39" s="472">
        <f t="shared" si="17"/>
        <v>1412</v>
      </c>
      <c r="L39" s="472">
        <f t="shared" si="17"/>
        <v>2960</v>
      </c>
      <c r="M39" s="472">
        <f t="shared" ref="M39:R39" si="18">SUM(M35:M38)</f>
        <v>1891</v>
      </c>
      <c r="N39" s="472">
        <f t="shared" si="18"/>
        <v>1246</v>
      </c>
      <c r="O39" s="472">
        <f t="shared" si="18"/>
        <v>1279</v>
      </c>
      <c r="P39" s="472">
        <f t="shared" si="18"/>
        <v>2556</v>
      </c>
      <c r="Q39" s="472">
        <f t="shared" si="18"/>
        <v>1774</v>
      </c>
      <c r="R39" s="472">
        <f t="shared" si="18"/>
        <v>1484</v>
      </c>
      <c r="S39" s="472">
        <f t="shared" ref="S39:T39" si="19">SUM(S35:S38)</f>
        <v>1555</v>
      </c>
      <c r="T39" s="472">
        <f t="shared" si="19"/>
        <v>2652</v>
      </c>
      <c r="U39" s="472">
        <f t="shared" ref="U39:V39" si="20">SUM(U35:U38)</f>
        <v>1899</v>
      </c>
      <c r="V39" s="472">
        <f t="shared" si="20"/>
        <v>1193</v>
      </c>
      <c r="W39" s="472">
        <f t="shared" ref="W39:X39" si="21">SUM(W35:W38)</f>
        <v>1433</v>
      </c>
      <c r="X39" s="472">
        <f t="shared" si="21"/>
        <v>2405</v>
      </c>
      <c r="Y39" s="472">
        <f t="shared" ref="Y39:Z39" si="22">SUM(Y35:Y38)</f>
        <v>1893</v>
      </c>
      <c r="Z39" s="472">
        <f t="shared" si="22"/>
        <v>1443</v>
      </c>
      <c r="AA39" s="472">
        <f t="shared" ref="AA39:AB39" si="23">SUM(AA35:AA38)</f>
        <v>2112</v>
      </c>
      <c r="AB39" s="472">
        <f t="shared" si="23"/>
        <v>2714</v>
      </c>
      <c r="AC39" s="472">
        <f t="shared" ref="AC39:AD39" si="24">SUM(AC35:AC38)</f>
        <v>1899</v>
      </c>
      <c r="AD39" s="472">
        <f t="shared" si="24"/>
        <v>1545</v>
      </c>
      <c r="AE39" s="472">
        <f>SUM(AE35:AE38)</f>
        <v>1610</v>
      </c>
    </row>
    <row r="40" spans="2:31">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row>
    <row r="41" spans="2:31">
      <c r="B41" s="462" t="s">
        <v>285</v>
      </c>
      <c r="C41" s="414">
        <v>0</v>
      </c>
      <c r="D41" s="414">
        <v>0</v>
      </c>
      <c r="E41" s="414">
        <v>0</v>
      </c>
      <c r="F41" s="414">
        <v>0</v>
      </c>
      <c r="G41" s="414">
        <v>0</v>
      </c>
      <c r="H41" s="414">
        <v>0</v>
      </c>
      <c r="I41" s="414">
        <v>0</v>
      </c>
      <c r="J41" s="414">
        <v>0</v>
      </c>
      <c r="K41" s="414">
        <v>0</v>
      </c>
      <c r="L41" s="414">
        <v>0</v>
      </c>
      <c r="M41" s="414">
        <v>0</v>
      </c>
      <c r="N41" s="414">
        <v>0</v>
      </c>
      <c r="O41" s="414">
        <v>0</v>
      </c>
      <c r="P41" s="414">
        <v>0</v>
      </c>
      <c r="Q41" s="414">
        <v>0</v>
      </c>
      <c r="R41" s="414">
        <v>0</v>
      </c>
      <c r="S41" s="414">
        <v>0</v>
      </c>
      <c r="T41" s="414">
        <v>0</v>
      </c>
      <c r="U41" s="414">
        <v>0</v>
      </c>
      <c r="V41" s="414">
        <v>0</v>
      </c>
      <c r="W41" s="414">
        <v>2211</v>
      </c>
      <c r="X41" s="414">
        <v>4668</v>
      </c>
      <c r="Y41" s="414">
        <v>4320</v>
      </c>
      <c r="Z41" s="414">
        <v>4321</v>
      </c>
      <c r="AA41" s="414">
        <v>4322</v>
      </c>
      <c r="AB41" s="414">
        <v>4324</v>
      </c>
      <c r="AC41" s="414">
        <v>4075</v>
      </c>
      <c r="AD41" s="414">
        <v>4077</v>
      </c>
      <c r="AE41" s="414">
        <v>4078</v>
      </c>
    </row>
    <row r="42" spans="2:31" s="467" customFormat="1">
      <c r="B42" s="462" t="s">
        <v>12</v>
      </c>
      <c r="C42" s="414">
        <v>696</v>
      </c>
      <c r="D42" s="414">
        <v>616</v>
      </c>
      <c r="E42" s="414">
        <v>710</v>
      </c>
      <c r="F42" s="414">
        <v>701</v>
      </c>
      <c r="G42" s="414">
        <v>688</v>
      </c>
      <c r="H42" s="414">
        <v>274</v>
      </c>
      <c r="I42" s="414">
        <v>259</v>
      </c>
      <c r="J42" s="414">
        <v>255</v>
      </c>
      <c r="K42" s="414">
        <v>239</v>
      </c>
      <c r="L42" s="414">
        <v>120</v>
      </c>
      <c r="M42" s="414">
        <v>83</v>
      </c>
      <c r="N42" s="414">
        <v>97</v>
      </c>
      <c r="O42" s="414">
        <v>95</v>
      </c>
      <c r="P42" s="414">
        <v>55</v>
      </c>
      <c r="Q42" s="414">
        <v>57</v>
      </c>
      <c r="R42" s="414">
        <v>61</v>
      </c>
      <c r="S42" s="414">
        <v>60</v>
      </c>
      <c r="T42" s="414">
        <v>25</v>
      </c>
      <c r="U42" s="414">
        <v>83</v>
      </c>
      <c r="V42" s="414">
        <v>77</v>
      </c>
      <c r="W42" s="414">
        <v>71</v>
      </c>
      <c r="X42" s="414">
        <v>66</v>
      </c>
      <c r="Y42" s="414">
        <v>86</v>
      </c>
      <c r="Z42" s="414">
        <v>82</v>
      </c>
      <c r="AA42" s="414">
        <v>82</v>
      </c>
      <c r="AB42" s="414">
        <v>114</v>
      </c>
      <c r="AC42" s="414">
        <v>124</v>
      </c>
      <c r="AD42" s="414">
        <v>126</v>
      </c>
      <c r="AE42" s="414">
        <v>110</v>
      </c>
    </row>
    <row r="43" spans="2:31">
      <c r="B43" s="462" t="s">
        <v>10</v>
      </c>
      <c r="C43" s="471">
        <v>169</v>
      </c>
      <c r="D43" s="471">
        <v>237</v>
      </c>
      <c r="E43" s="471">
        <v>177</v>
      </c>
      <c r="F43" s="471">
        <v>192</v>
      </c>
      <c r="G43" s="471">
        <v>182</v>
      </c>
      <c r="H43" s="471">
        <v>200</v>
      </c>
      <c r="I43" s="471">
        <v>190</v>
      </c>
      <c r="J43" s="471">
        <v>182</v>
      </c>
      <c r="K43" s="471">
        <v>181</v>
      </c>
      <c r="L43" s="471">
        <v>164</v>
      </c>
      <c r="M43" s="471">
        <v>166</v>
      </c>
      <c r="N43" s="471">
        <v>164</v>
      </c>
      <c r="O43" s="471">
        <v>168</v>
      </c>
      <c r="P43" s="471">
        <v>174</v>
      </c>
      <c r="Q43" s="471">
        <v>165</v>
      </c>
      <c r="R43" s="471">
        <v>160</v>
      </c>
      <c r="S43" s="471">
        <v>163</v>
      </c>
      <c r="T43" s="471">
        <v>206</v>
      </c>
      <c r="U43" s="471">
        <v>208</v>
      </c>
      <c r="V43" s="471">
        <v>206</v>
      </c>
      <c r="W43" s="471">
        <v>206</v>
      </c>
      <c r="X43" s="471">
        <v>251</v>
      </c>
      <c r="Y43" s="471">
        <v>305</v>
      </c>
      <c r="Z43" s="471">
        <v>343</v>
      </c>
      <c r="AA43" s="471">
        <v>347</v>
      </c>
      <c r="AB43" s="471">
        <v>361</v>
      </c>
      <c r="AC43" s="471">
        <v>441</v>
      </c>
      <c r="AD43" s="471">
        <v>466</v>
      </c>
      <c r="AE43" s="471">
        <v>515</v>
      </c>
    </row>
    <row r="44" spans="2:31">
      <c r="B44" s="467" t="s">
        <v>18</v>
      </c>
      <c r="C44" s="472">
        <f>SUM(C39:C43)</f>
        <v>1966</v>
      </c>
      <c r="D44" s="472">
        <f t="shared" ref="D44:L44" si="25">SUM(D39:D43)</f>
        <v>2939</v>
      </c>
      <c r="E44" s="472">
        <f t="shared" si="25"/>
        <v>2201</v>
      </c>
      <c r="F44" s="472">
        <f t="shared" si="25"/>
        <v>1976</v>
      </c>
      <c r="G44" s="472">
        <f t="shared" si="25"/>
        <v>2163</v>
      </c>
      <c r="H44" s="472">
        <f t="shared" si="25"/>
        <v>2990</v>
      </c>
      <c r="I44" s="472">
        <f t="shared" si="25"/>
        <v>2003</v>
      </c>
      <c r="J44" s="472">
        <f t="shared" si="25"/>
        <v>1541</v>
      </c>
      <c r="K44" s="472">
        <f t="shared" si="25"/>
        <v>1832</v>
      </c>
      <c r="L44" s="472">
        <f t="shared" si="25"/>
        <v>3244</v>
      </c>
      <c r="M44" s="472">
        <f t="shared" ref="M44:R44" si="26">SUM(M39:M43)</f>
        <v>2140</v>
      </c>
      <c r="N44" s="472">
        <f t="shared" si="26"/>
        <v>1507</v>
      </c>
      <c r="O44" s="472">
        <f t="shared" si="26"/>
        <v>1542</v>
      </c>
      <c r="P44" s="472">
        <f t="shared" si="26"/>
        <v>2785</v>
      </c>
      <c r="Q44" s="472">
        <f t="shared" si="26"/>
        <v>1996</v>
      </c>
      <c r="R44" s="472">
        <f t="shared" si="26"/>
        <v>1705</v>
      </c>
      <c r="S44" s="472">
        <f t="shared" ref="S44:T44" si="27">SUM(S39:S43)</f>
        <v>1778</v>
      </c>
      <c r="T44" s="472">
        <f t="shared" si="27"/>
        <v>2883</v>
      </c>
      <c r="U44" s="472">
        <f t="shared" ref="U44:V44" si="28">SUM(U39:U43)</f>
        <v>2190</v>
      </c>
      <c r="V44" s="472">
        <f t="shared" si="28"/>
        <v>1476</v>
      </c>
      <c r="W44" s="472">
        <f t="shared" ref="W44:X44" si="29">SUM(W39:W43)</f>
        <v>3921</v>
      </c>
      <c r="X44" s="472">
        <f t="shared" si="29"/>
        <v>7390</v>
      </c>
      <c r="Y44" s="472">
        <f t="shared" ref="Y44:Z44" si="30">SUM(Y39:Y43)</f>
        <v>6604</v>
      </c>
      <c r="Z44" s="472">
        <f t="shared" si="30"/>
        <v>6189</v>
      </c>
      <c r="AA44" s="472">
        <f t="shared" ref="AA44:AB44" si="31">SUM(AA39:AA43)</f>
        <v>6863</v>
      </c>
      <c r="AB44" s="472">
        <f t="shared" si="31"/>
        <v>7513</v>
      </c>
      <c r="AC44" s="472">
        <f t="shared" ref="AC44:AD44" si="32">SUM(AC39:AC43)</f>
        <v>6539</v>
      </c>
      <c r="AD44" s="472">
        <f t="shared" si="32"/>
        <v>6214</v>
      </c>
      <c r="AE44" s="472">
        <f t="shared" ref="AE44" si="33">SUM(AE39:AE43)</f>
        <v>6313</v>
      </c>
    </row>
    <row r="45" spans="2:31">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row>
    <row r="46" spans="2:31">
      <c r="B46" s="462" t="s">
        <v>19</v>
      </c>
      <c r="C46" s="414">
        <v>0</v>
      </c>
      <c r="D46" s="414">
        <v>0</v>
      </c>
      <c r="E46" s="414">
        <v>0</v>
      </c>
      <c r="F46" s="414">
        <v>0</v>
      </c>
      <c r="G46" s="414">
        <v>0</v>
      </c>
      <c r="H46" s="414">
        <v>0</v>
      </c>
      <c r="I46" s="414">
        <v>0</v>
      </c>
      <c r="J46" s="414">
        <v>0</v>
      </c>
      <c r="K46" s="414">
        <v>0</v>
      </c>
      <c r="L46" s="414">
        <v>0</v>
      </c>
      <c r="M46" s="414">
        <v>0</v>
      </c>
      <c r="N46" s="414">
        <v>0</v>
      </c>
      <c r="O46" s="414">
        <v>0</v>
      </c>
      <c r="P46" s="414">
        <v>0</v>
      </c>
      <c r="Q46" s="414">
        <v>0</v>
      </c>
      <c r="R46" s="414">
        <v>0</v>
      </c>
      <c r="S46" s="414">
        <v>0</v>
      </c>
      <c r="T46" s="414">
        <v>0</v>
      </c>
      <c r="U46" s="414">
        <v>0</v>
      </c>
      <c r="V46" s="414">
        <v>0</v>
      </c>
      <c r="W46" s="414">
        <v>0</v>
      </c>
      <c r="X46" s="414">
        <v>0</v>
      </c>
      <c r="Y46" s="414">
        <v>0</v>
      </c>
      <c r="Z46" s="414">
        <v>0</v>
      </c>
      <c r="AA46" s="414">
        <v>0</v>
      </c>
      <c r="AB46" s="414">
        <v>0</v>
      </c>
      <c r="AC46" s="414">
        <v>0</v>
      </c>
      <c r="AD46" s="414">
        <v>0</v>
      </c>
      <c r="AE46" s="414">
        <v>0</v>
      </c>
    </row>
    <row r="47" spans="2:31">
      <c r="B47" s="462" t="s">
        <v>70</v>
      </c>
      <c r="C47" s="414">
        <v>12165</v>
      </c>
      <c r="D47" s="414">
        <v>12170</v>
      </c>
      <c r="E47" s="414">
        <v>12218</v>
      </c>
      <c r="F47" s="414">
        <v>12303</v>
      </c>
      <c r="G47" s="414">
        <v>12332</v>
      </c>
      <c r="H47" s="414">
        <v>12376</v>
      </c>
      <c r="I47" s="414">
        <v>12234</v>
      </c>
      <c r="J47" s="414">
        <v>12260</v>
      </c>
      <c r="K47" s="414">
        <v>12313</v>
      </c>
      <c r="L47" s="414">
        <v>12353</v>
      </c>
      <c r="M47" s="414">
        <v>12382</v>
      </c>
      <c r="N47" s="414">
        <v>9735</v>
      </c>
      <c r="O47" s="414">
        <v>9751</v>
      </c>
      <c r="P47" s="414">
        <v>9616</v>
      </c>
      <c r="Q47" s="414">
        <v>9391</v>
      </c>
      <c r="R47" s="414">
        <v>9375</v>
      </c>
      <c r="S47" s="414">
        <v>9418</v>
      </c>
      <c r="T47" s="414">
        <v>9450</v>
      </c>
      <c r="U47" s="414">
        <v>9498</v>
      </c>
      <c r="V47" s="414">
        <v>9541</v>
      </c>
      <c r="W47" s="414">
        <v>9608</v>
      </c>
      <c r="X47" s="414">
        <v>9682</v>
      </c>
      <c r="Y47" s="414">
        <v>9812</v>
      </c>
      <c r="Z47" s="414">
        <v>9853</v>
      </c>
      <c r="AA47" s="414">
        <v>9900</v>
      </c>
      <c r="AB47" s="414">
        <v>9924</v>
      </c>
      <c r="AC47" s="414">
        <v>9968</v>
      </c>
      <c r="AD47" s="414">
        <v>10163</v>
      </c>
      <c r="AE47" s="414">
        <v>10209</v>
      </c>
    </row>
    <row r="48" spans="2:31">
      <c r="B48" s="462" t="s">
        <v>71</v>
      </c>
      <c r="C48" s="414">
        <v>0</v>
      </c>
      <c r="D48" s="414">
        <v>-126</v>
      </c>
      <c r="E48" s="414">
        <v>-439</v>
      </c>
      <c r="F48" s="414">
        <v>-668</v>
      </c>
      <c r="G48" s="414">
        <v>-960</v>
      </c>
      <c r="H48" s="414">
        <v>-1235</v>
      </c>
      <c r="I48" s="414">
        <v>-1342</v>
      </c>
      <c r="J48" s="414">
        <v>-1584</v>
      </c>
      <c r="K48" s="414">
        <v>-1848</v>
      </c>
      <c r="L48" s="414">
        <v>-2194</v>
      </c>
      <c r="M48" s="414">
        <v>-2537</v>
      </c>
      <c r="N48" s="414">
        <v>0</v>
      </c>
      <c r="O48" s="414">
        <v>0</v>
      </c>
      <c r="P48" s="414">
        <v>0</v>
      </c>
      <c r="Q48" s="414">
        <v>0</v>
      </c>
      <c r="R48" s="414">
        <v>0</v>
      </c>
      <c r="S48" s="414">
        <v>0</v>
      </c>
      <c r="T48" s="414">
        <v>0</v>
      </c>
      <c r="U48" s="414">
        <v>0</v>
      </c>
      <c r="V48" s="414">
        <v>0</v>
      </c>
      <c r="W48" s="414">
        <v>0</v>
      </c>
      <c r="X48" s="414">
        <v>-5814</v>
      </c>
      <c r="Y48" s="414">
        <v>-5783</v>
      </c>
      <c r="Z48" s="414">
        <v>-5762</v>
      </c>
      <c r="AA48" s="414">
        <v>-5764</v>
      </c>
      <c r="AB48" s="414">
        <v>-5762</v>
      </c>
      <c r="AC48" s="414">
        <v>-5709</v>
      </c>
      <c r="AD48" s="414">
        <v>-5627</v>
      </c>
      <c r="AE48" s="414">
        <v>-5613</v>
      </c>
    </row>
    <row r="49" spans="2:31">
      <c r="B49" s="462" t="s">
        <v>40</v>
      </c>
      <c r="C49" s="414">
        <v>-403</v>
      </c>
      <c r="D49" s="414">
        <v>-474</v>
      </c>
      <c r="E49" s="414">
        <v>-285</v>
      </c>
      <c r="F49" s="414">
        <v>-90</v>
      </c>
      <c r="G49" s="414">
        <v>-75</v>
      </c>
      <c r="H49" s="414">
        <v>-361</v>
      </c>
      <c r="I49" s="414">
        <v>20</v>
      </c>
      <c r="J49" s="414">
        <v>239</v>
      </c>
      <c r="K49" s="414">
        <v>290</v>
      </c>
      <c r="L49" s="414">
        <v>57</v>
      </c>
      <c r="M49" s="414">
        <v>366</v>
      </c>
      <c r="N49" s="414">
        <v>701</v>
      </c>
      <c r="O49" s="414">
        <v>849</v>
      </c>
      <c r="P49" s="414">
        <v>948</v>
      </c>
      <c r="Q49" s="414">
        <v>1128</v>
      </c>
      <c r="R49" s="414">
        <v>1313</v>
      </c>
      <c r="S49" s="414">
        <v>1539</v>
      </c>
      <c r="T49" s="414">
        <v>1893</v>
      </c>
      <c r="U49" s="414">
        <v>2132</v>
      </c>
      <c r="V49" s="414">
        <v>2456</v>
      </c>
      <c r="W49" s="414">
        <v>2513</v>
      </c>
      <c r="X49" s="414">
        <v>2686</v>
      </c>
      <c r="Y49" s="414">
        <v>2832</v>
      </c>
      <c r="Z49" s="414">
        <v>3036</v>
      </c>
      <c r="AA49" s="414">
        <v>3013</v>
      </c>
      <c r="AB49" s="414">
        <v>3374</v>
      </c>
      <c r="AC49" s="414">
        <v>3598</v>
      </c>
      <c r="AD49" s="414">
        <v>3810</v>
      </c>
      <c r="AE49" s="414">
        <v>3937</v>
      </c>
    </row>
    <row r="50" spans="2:31">
      <c r="B50" s="462" t="s">
        <v>209</v>
      </c>
      <c r="C50" s="414">
        <v>13</v>
      </c>
      <c r="D50" s="414">
        <v>-43</v>
      </c>
      <c r="E50" s="414">
        <v>-46</v>
      </c>
      <c r="F50" s="414">
        <v>-14</v>
      </c>
      <c r="G50" s="414">
        <v>-5</v>
      </c>
      <c r="H50" s="414">
        <v>-24</v>
      </c>
      <c r="I50" s="414">
        <v>-44</v>
      </c>
      <c r="J50" s="414">
        <v>-57</v>
      </c>
      <c r="K50" s="414">
        <v>-9</v>
      </c>
      <c r="L50" s="414">
        <v>-13</v>
      </c>
      <c r="M50" s="414">
        <v>26</v>
      </c>
      <c r="N50" s="414">
        <v>29</v>
      </c>
      <c r="O50" s="414">
        <v>-29</v>
      </c>
      <c r="P50" s="414">
        <v>-72</v>
      </c>
      <c r="Q50" s="414">
        <v>-33</v>
      </c>
      <c r="R50" s="414">
        <v>-124</v>
      </c>
      <c r="S50" s="414">
        <v>-74</v>
      </c>
      <c r="T50" s="414">
        <v>-26</v>
      </c>
      <c r="U50" s="414">
        <v>-95</v>
      </c>
      <c r="V50" s="414">
        <v>-62</v>
      </c>
      <c r="W50" s="414">
        <v>18</v>
      </c>
      <c r="X50" s="414">
        <v>68</v>
      </c>
      <c r="Y50" s="414">
        <v>63</v>
      </c>
      <c r="Z50" s="414">
        <v>44</v>
      </c>
      <c r="AA50" s="414">
        <v>-157</v>
      </c>
      <c r="AB50" s="414">
        <v>-303</v>
      </c>
      <c r="AC50" s="414">
        <v>-619</v>
      </c>
      <c r="AD50" s="414">
        <v>-545</v>
      </c>
      <c r="AE50" s="414">
        <v>-544</v>
      </c>
    </row>
    <row r="51" spans="2:31">
      <c r="B51" s="467" t="s">
        <v>22</v>
      </c>
      <c r="C51" s="475">
        <f t="shared" ref="C51:L51" si="34">SUM(C46:C50)</f>
        <v>11775</v>
      </c>
      <c r="D51" s="475">
        <f t="shared" si="34"/>
        <v>11527</v>
      </c>
      <c r="E51" s="475">
        <f t="shared" si="34"/>
        <v>11448</v>
      </c>
      <c r="F51" s="475">
        <f t="shared" si="34"/>
        <v>11531</v>
      </c>
      <c r="G51" s="475">
        <f t="shared" si="34"/>
        <v>11292</v>
      </c>
      <c r="H51" s="475">
        <f t="shared" si="34"/>
        <v>10756</v>
      </c>
      <c r="I51" s="475">
        <f t="shared" si="34"/>
        <v>10868</v>
      </c>
      <c r="J51" s="475">
        <f t="shared" si="34"/>
        <v>10858</v>
      </c>
      <c r="K51" s="475">
        <f t="shared" si="34"/>
        <v>10746</v>
      </c>
      <c r="L51" s="475">
        <f t="shared" si="34"/>
        <v>10203</v>
      </c>
      <c r="M51" s="475">
        <f t="shared" ref="M51:R51" si="35">SUM(M46:M50)</f>
        <v>10237</v>
      </c>
      <c r="N51" s="475">
        <f t="shared" si="35"/>
        <v>10465</v>
      </c>
      <c r="O51" s="475">
        <f t="shared" si="35"/>
        <v>10571</v>
      </c>
      <c r="P51" s="475">
        <f t="shared" si="35"/>
        <v>10492</v>
      </c>
      <c r="Q51" s="475">
        <f t="shared" si="35"/>
        <v>10486</v>
      </c>
      <c r="R51" s="475">
        <f t="shared" si="35"/>
        <v>10564</v>
      </c>
      <c r="S51" s="475">
        <f t="shared" ref="S51:T51" si="36">SUM(S46:S50)</f>
        <v>10883</v>
      </c>
      <c r="T51" s="475">
        <f t="shared" si="36"/>
        <v>11317</v>
      </c>
      <c r="U51" s="475">
        <f t="shared" ref="U51:V51" si="37">SUM(U46:U50)</f>
        <v>11535</v>
      </c>
      <c r="V51" s="475">
        <f t="shared" si="37"/>
        <v>11935</v>
      </c>
      <c r="W51" s="475">
        <f t="shared" ref="W51:X51" si="38">SUM(W46:W50)</f>
        <v>12139</v>
      </c>
      <c r="X51" s="475">
        <f t="shared" si="38"/>
        <v>6622</v>
      </c>
      <c r="Y51" s="475">
        <f t="shared" ref="Y51:Z51" si="39">SUM(Y46:Y50)</f>
        <v>6924</v>
      </c>
      <c r="Z51" s="475">
        <f t="shared" si="39"/>
        <v>7171</v>
      </c>
      <c r="AA51" s="475">
        <f t="shared" ref="AA51:AB51" si="40">SUM(AA46:AA50)</f>
        <v>6992</v>
      </c>
      <c r="AB51" s="475">
        <f t="shared" si="40"/>
        <v>7233</v>
      </c>
      <c r="AC51" s="475">
        <f t="shared" ref="AC51:AD51" si="41">SUM(AC46:AC50)</f>
        <v>7238</v>
      </c>
      <c r="AD51" s="475">
        <f t="shared" si="41"/>
        <v>7801</v>
      </c>
      <c r="AE51" s="475">
        <f>SUM(AE46:AE50)</f>
        <v>7989</v>
      </c>
    </row>
    <row r="52" spans="2:31">
      <c r="B52" s="467"/>
      <c r="C52" s="476"/>
      <c r="D52" s="476"/>
      <c r="E52" s="476"/>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75"/>
    </row>
    <row r="53" spans="2:31" ht="12.75" thickBot="1">
      <c r="B53" s="467" t="s">
        <v>23</v>
      </c>
      <c r="C53" s="473">
        <f>C44+C51</f>
        <v>13741</v>
      </c>
      <c r="D53" s="473">
        <f t="shared" ref="D53:L53" si="42">D44+D51</f>
        <v>14466</v>
      </c>
      <c r="E53" s="473">
        <f t="shared" si="42"/>
        <v>13649</v>
      </c>
      <c r="F53" s="473">
        <f t="shared" si="42"/>
        <v>13507</v>
      </c>
      <c r="G53" s="473">
        <f t="shared" si="42"/>
        <v>13455</v>
      </c>
      <c r="H53" s="473">
        <f t="shared" si="42"/>
        <v>13746</v>
      </c>
      <c r="I53" s="473">
        <f t="shared" si="42"/>
        <v>12871</v>
      </c>
      <c r="J53" s="473">
        <f t="shared" si="42"/>
        <v>12399</v>
      </c>
      <c r="K53" s="473">
        <f t="shared" si="42"/>
        <v>12578</v>
      </c>
      <c r="L53" s="473">
        <f t="shared" si="42"/>
        <v>13447</v>
      </c>
      <c r="M53" s="473">
        <f t="shared" ref="M53:R53" si="43">M44+M51</f>
        <v>12377</v>
      </c>
      <c r="N53" s="473">
        <f t="shared" si="43"/>
        <v>11972</v>
      </c>
      <c r="O53" s="473">
        <f t="shared" si="43"/>
        <v>12113</v>
      </c>
      <c r="P53" s="473">
        <f t="shared" si="43"/>
        <v>13277</v>
      </c>
      <c r="Q53" s="473">
        <f t="shared" si="43"/>
        <v>12482</v>
      </c>
      <c r="R53" s="473">
        <f t="shared" si="43"/>
        <v>12269</v>
      </c>
      <c r="S53" s="473">
        <f t="shared" ref="S53:T53" si="44">S44+S51</f>
        <v>12661</v>
      </c>
      <c r="T53" s="473">
        <f t="shared" si="44"/>
        <v>14200</v>
      </c>
      <c r="U53" s="473">
        <f t="shared" ref="U53:V53" si="45">U44+U51</f>
        <v>13725</v>
      </c>
      <c r="V53" s="473">
        <f t="shared" si="45"/>
        <v>13411</v>
      </c>
      <c r="W53" s="473">
        <f t="shared" ref="W53:X53" si="46">W44+W51</f>
        <v>16060</v>
      </c>
      <c r="X53" s="473">
        <f t="shared" si="46"/>
        <v>14012</v>
      </c>
      <c r="Y53" s="473">
        <f t="shared" ref="Y53:Z53" si="47">Y44+Y51</f>
        <v>13528</v>
      </c>
      <c r="Z53" s="473">
        <f t="shared" si="47"/>
        <v>13360</v>
      </c>
      <c r="AA53" s="473">
        <f t="shared" ref="AA53:AB53" si="48">AA44+AA51</f>
        <v>13855</v>
      </c>
      <c r="AB53" s="473">
        <f t="shared" si="48"/>
        <v>14746</v>
      </c>
      <c r="AC53" s="473">
        <f t="shared" ref="AC53:AD53" si="49">AC44+AC51</f>
        <v>13777</v>
      </c>
      <c r="AD53" s="473">
        <f t="shared" si="49"/>
        <v>14015</v>
      </c>
      <c r="AE53" s="473">
        <f>AE44+AE51</f>
        <v>14302</v>
      </c>
    </row>
    <row r="54" spans="2:31">
      <c r="C54" s="676"/>
      <c r="D54" s="676"/>
      <c r="E54" s="676"/>
      <c r="F54" s="676"/>
      <c r="G54" s="676"/>
      <c r="H54" s="676"/>
      <c r="I54" s="676"/>
      <c r="J54" s="676"/>
      <c r="K54" s="676"/>
      <c r="L54" s="676"/>
      <c r="M54" s="676"/>
      <c r="N54" s="676"/>
      <c r="O54" s="676"/>
      <c r="P54" s="676"/>
      <c r="Q54" s="676"/>
      <c r="R54" s="676"/>
      <c r="S54" s="676"/>
      <c r="T54" s="676"/>
      <c r="U54" s="676"/>
      <c r="V54" s="676"/>
      <c r="W54" s="676"/>
      <c r="X54" s="676"/>
      <c r="Y54" s="676"/>
      <c r="Z54" s="676"/>
      <c r="AA54" s="676"/>
      <c r="AB54" s="676"/>
      <c r="AC54" s="676"/>
      <c r="AD54" s="676"/>
      <c r="AE54" s="676"/>
    </row>
  </sheetData>
  <mergeCells count="3">
    <mergeCell ref="A1:AF1"/>
    <mergeCell ref="A2:AF2"/>
    <mergeCell ref="A3:AF3"/>
  </mergeCells>
  <pageMargins left="0.7" right="0.7" top="0.25" bottom="0.44" header="0.3" footer="0.3"/>
  <pageSetup scale="40" orientation="landscape" r:id="rId1"/>
  <headerFooter>
    <oddFooter>&amp;LActivision Blizzard, Inc.&amp;R&amp;P of &amp; 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8A179F-0915-4EA1-B8FE-9C11ACF31CC0}">
  <ds:schemaRefs>
    <ds:schemaRef ds:uri="http://purl.org/dc/dcmitype/"/>
    <ds:schemaRef ds:uri="http://schemas.microsoft.com/office/2006/documentManagement/types"/>
    <ds:schemaRef ds:uri="http://schemas.microsoft.com/office/infopath/2007/PartnerControls"/>
    <ds:schemaRef ds:uri="http://purl.org/dc/elements/1.1/"/>
    <ds:schemaRef ds:uri="http://www.w3.org/XML/1998/namespace"/>
    <ds:schemaRef ds:uri="http://purl.org/dc/terms/"/>
    <ds:schemaRef ds:uri="http://schemas.microsoft.com/office/2006/metadata/properties"/>
    <ds:schemaRef ds:uri="http://schemas.openxmlformats.org/package/2006/metadata/core-properties"/>
    <ds:schemaRef ds:uri="64b9f78e-1638-4d50-90be-e6eae294b66a"/>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26</vt:i4>
      </vt:variant>
    </vt:vector>
  </HeadingPairs>
  <TitlesOfParts>
    <vt:vector size="46" baseType="lpstr">
      <vt:lpstr>Non-GAAP Financial Measures</vt:lpstr>
      <vt:lpstr>QTD P&amp;L</vt:lpstr>
      <vt:lpstr>TTM P&amp;L</vt:lpstr>
      <vt:lpstr>EBITDA and Adjusted 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2015</vt:lpstr>
      <vt:lpstr>GAAP to Non-GAAP Measures 2014</vt:lpstr>
      <vt:lpstr>GAAP to Non-GAAP Measures 2013</vt:lpstr>
      <vt:lpstr>GAAP to Non-GAAP Measures 2012</vt:lpstr>
      <vt:lpstr>GAAP to Non-GAAP Measures 2011</vt:lpstr>
      <vt:lpstr>GAAP to Non-GAAP Measures 2010</vt:lpstr>
      <vt:lpstr>GAAP to Non-GAAP Measures 2009</vt:lpstr>
      <vt:lpstr>GAAP to Non-GAAP Measures 2008</vt:lpstr>
      <vt:lpstr>GAAP_nonGAAPreconCY</vt:lpstr>
      <vt:lpstr>GAAP_nonGAAPreconCYQTR</vt:lpstr>
      <vt:lpstr>'Balance Sheet'!Print_Area</vt:lpstr>
      <vt:lpstr>'Cashflow Supplemental'!Print_Area</vt:lpstr>
      <vt:lpstr>'Cashflow Supplemental Qtrly'!Print_Area</vt:lpstr>
      <vt:lpstr>'EBITDA and Adjusted EBITDA'!Print_Area</vt:lpstr>
      <vt:lpstr>'GAAP to Non-GAAP Measures 2008'!Print_Area</vt:lpstr>
      <vt:lpstr>'GAAP to Non-GAAP Measures 2009'!Print_Area</vt:lpstr>
      <vt:lpstr>'GAAP to Non-GAAP Measures 2010'!Print_Area</vt:lpstr>
      <vt:lpstr>'GAAP to Non-GAAP Measures 2011'!Print_Area</vt:lpstr>
      <vt:lpstr>'GAAP to Non-GAAP Measures 2012'!Print_Area</vt:lpstr>
      <vt:lpstr>'GAAP to Non-GAAP Measures 2013'!Print_Area</vt:lpstr>
      <vt:lpstr>'GAAP to Non-GAAP Measures 2014'!Print_Area</vt:lpstr>
      <vt:lpstr>'GAAP to Non-GAAP Measures 2015'!Print_Area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2010'!Print_Titles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Shi, Jason</cp:lastModifiedBy>
  <cp:lastPrinted>2015-01-27T19:32:25Z</cp:lastPrinted>
  <dcterms:created xsi:type="dcterms:W3CDTF">2010-07-21T13:25:15Z</dcterms:created>
  <dcterms:modified xsi:type="dcterms:W3CDTF">2015-11-03T03:07:00Z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ies>
</file>