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195" windowWidth="15300" windowHeight="7890" tabRatio="892"/>
  </bookViews>
  <sheets>
    <sheet name="Non-GAAP Financial Measures" sheetId="51" r:id="rId1"/>
    <sheet name="QTD P&amp;L" sheetId="57" r:id="rId2"/>
    <sheet name="TTM P&amp;L" sheetId="78" r:id="rId3"/>
    <sheet name="NR and OI by Segment" sheetId="61" r:id="rId4"/>
    <sheet name="Rev Mix by Geographic Region" sheetId="62" r:id="rId5"/>
    <sheet name="Rev Mix by Platform" sheetId="63" r:id="rId6"/>
    <sheet name="Rev Mix by Distribution" sheetId="76" r:id="rId7"/>
    <sheet name="Balance Sheet" sheetId="59" r:id="rId8"/>
    <sheet name="Cashflow Supplemental" sheetId="81" r:id="rId9"/>
    <sheet name="Cashflow YE" sheetId="75" r:id="rId10"/>
    <sheet name="GAAP to Non-GAAP Measures 2012" sheetId="82" r:id="rId11"/>
    <sheet name="GAAP to Non-GAAP Measures 2011" sheetId="64" r:id="rId12"/>
    <sheet name="GAAP to Non-GAAP Measures 2010" sheetId="65" r:id="rId13"/>
    <sheet name="GAAP to Non-GAAP Measures 2009" sheetId="72" r:id="rId14"/>
    <sheet name="GAAP to Non-GAAP Measures 2008" sheetId="74" r:id="rId15"/>
  </sheets>
  <definedNames>
    <definedName name="EssLatest" localSheetId="14">"BegBalance"</definedName>
    <definedName name="EssLatest" localSheetId="13">"BegBalance"</definedName>
    <definedName name="EssOptions" localSheetId="14">"A2100001100110000011001100020_01000"</definedName>
    <definedName name="EssOptions" localSheetId="13">"A2100001100110000011001100020_01000"</definedName>
    <definedName name="EssSamplingValue" localSheetId="14">100</definedName>
    <definedName name="EssSamplingValue" localSheetId="13">100</definedName>
    <definedName name="GAAP_nonGAAPreconCY" localSheetId="12">'GAAP to Non-GAAP Measures 2010'!#REF!</definedName>
    <definedName name="GAAP_nonGAAPreconCY" localSheetId="10">'GAAP to Non-GAAP Measures 2012'!#REF!</definedName>
    <definedName name="GAAP_nonGAAPreconCY">'GAAP to Non-GAAP Measures 2011'!$B$6:$N$22</definedName>
    <definedName name="GAAP_nonGAAPreconCYQTR" localSheetId="12">'GAAP to Non-GAAP Measures 2010'!#REF!</definedName>
    <definedName name="GAAP_nonGAAPreconCYQTR" localSheetId="10">'GAAP to Non-GAAP Measures 2012'!#REF!</definedName>
    <definedName name="GAAP_nonGAAPreconCYQTR">'GAAP to Non-GAAP Measures 2011'!$B$6:$N$22</definedName>
    <definedName name="GAAP_NONGAAPreconPY" localSheetId="8">#REF!</definedName>
    <definedName name="GAAP_NONGAAPreconPY" localSheetId="12">#REF!</definedName>
    <definedName name="GAAP_NONGAAPreconPY" localSheetId="10">#REF!</definedName>
    <definedName name="GAAP_NONGAAPreconPY">#REF!</definedName>
    <definedName name="GAAP_NONGAAPreconPYQTR" localSheetId="8">#REF!</definedName>
    <definedName name="GAAP_NONGAAPreconPYQTR" localSheetId="12">#REF!</definedName>
    <definedName name="GAAP_NONGAAPreconPYQTR" localSheetId="10">#REF!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8">#REF!</definedName>
    <definedName name="PR_PlatformYTD" localSheetId="12">#REF!</definedName>
    <definedName name="PR_PlatformYTD" localSheetId="10">#REF!</definedName>
    <definedName name="PR_PlatformYTD">#REF!</definedName>
    <definedName name="_xlnm.Print_Area" localSheetId="7">'Balance Sheet'!$A$1:$Q$50</definedName>
    <definedName name="_xlnm.Print_Area" localSheetId="14">'GAAP to Non-GAAP Measures 2008'!$B$1:$N$54</definedName>
    <definedName name="_xlnm.Print_Area" localSheetId="13">'GAAP to Non-GAAP Measures 2009'!$B$1:$O$95</definedName>
    <definedName name="_xlnm.Print_Area" localSheetId="12">'GAAP to Non-GAAP Measures 2010'!$B$1:$N$89</definedName>
    <definedName name="_xlnm.Print_Area" localSheetId="11">'GAAP to Non-GAAP Measures 2011'!$B$1:$N$86</definedName>
    <definedName name="_xlnm.Print_Area" localSheetId="10">'GAAP to Non-GAAP Measures 2012'!$B$1:$N$26</definedName>
    <definedName name="_xlnm.Print_Area" localSheetId="0">'Non-GAAP Financial Measures'!$A$1:$R$27</definedName>
    <definedName name="_xlnm.Print_Area" localSheetId="3">'NR and OI by Segment'!$B$1:$T$45</definedName>
    <definedName name="_xlnm.Print_Area" localSheetId="1">'QTD P&amp;L'!$A$1:$S$100</definedName>
    <definedName name="_xlnm.Print_Area" localSheetId="6">'Rev Mix by Distribution'!$A$1:$Q$35</definedName>
    <definedName name="_xlnm.Print_Area" localSheetId="4">'Rev Mix by Geographic Region'!$B$1:$T$36</definedName>
    <definedName name="_xlnm.Print_Area" localSheetId="5">'Rev Mix by Platform'!$B$1:$T$69</definedName>
    <definedName name="_xlnm.Print_Area" localSheetId="2">'TTM P&amp;L'!$A$1:$Q$105</definedName>
    <definedName name="_xlnm.Print_Titles" localSheetId="12">'GAAP to Non-GAAP Measures 2010'!$1:$5</definedName>
    <definedName name="_xlnm.Print_Titles" localSheetId="11">'GAAP to Non-GAAP Measures 2011'!$1:$5</definedName>
    <definedName name="_xlnm.Print_Titles" localSheetId="1">'QTD P&amp;L'!$1:$7</definedName>
    <definedName name="_xlnm.Print_Titles" localSheetId="2">'TTM P&amp;L'!$1:$8</definedName>
  </definedNames>
  <calcPr calcId="145621" calcMode="manual"/>
</workbook>
</file>

<file path=xl/calcChain.xml><?xml version="1.0" encoding="utf-8"?>
<calcChain xmlns="http://schemas.openxmlformats.org/spreadsheetml/2006/main">
  <c r="P12" i="78" l="1"/>
  <c r="P42" i="78" s="1"/>
  <c r="P10" i="78"/>
  <c r="S97" i="57"/>
  <c r="S95" i="57"/>
  <c r="S92" i="57"/>
  <c r="S91" i="57"/>
  <c r="S90" i="57"/>
  <c r="S89" i="57"/>
  <c r="S88" i="57"/>
  <c r="S87" i="57"/>
  <c r="S86" i="57"/>
  <c r="S53" i="57"/>
  <c r="S51" i="57"/>
  <c r="S48" i="57"/>
  <c r="S47" i="57"/>
  <c r="S46" i="57"/>
  <c r="S45" i="57"/>
  <c r="S44" i="57"/>
  <c r="S43" i="57"/>
  <c r="S42" i="57"/>
  <c r="S41" i="57"/>
  <c r="S40" i="57"/>
  <c r="P34" i="78" l="1"/>
  <c r="P33" i="78"/>
  <c r="P30" i="78"/>
  <c r="P29" i="78"/>
  <c r="P25" i="78"/>
  <c r="P55" i="78" s="1"/>
  <c r="P23" i="78"/>
  <c r="P53" i="78" s="1"/>
  <c r="K7" i="64"/>
  <c r="L7" i="64"/>
  <c r="O68" i="57"/>
  <c r="O69" i="57"/>
  <c r="O17" i="57"/>
  <c r="O16" i="57"/>
  <c r="S20" i="62"/>
  <c r="S19" i="62"/>
  <c r="S18" i="62"/>
  <c r="F19" i="82"/>
  <c r="B14" i="82"/>
  <c r="L11" i="82"/>
  <c r="K11" i="82"/>
  <c r="J11" i="82"/>
  <c r="I11" i="82"/>
  <c r="H11" i="82"/>
  <c r="G11" i="82"/>
  <c r="F11" i="82"/>
  <c r="E11" i="82"/>
  <c r="M10" i="82"/>
  <c r="E18" i="82" s="1"/>
  <c r="M9" i="82"/>
  <c r="E17" i="82" s="1"/>
  <c r="M8" i="82"/>
  <c r="E16" i="82" s="1"/>
  <c r="M7" i="82"/>
  <c r="E15" i="82" s="1"/>
  <c r="P24" i="76"/>
  <c r="P27" i="76" s="1"/>
  <c r="P18" i="76"/>
  <c r="P17" i="76"/>
  <c r="P19" i="76" s="1"/>
  <c r="P11" i="76"/>
  <c r="P14" i="76" s="1"/>
  <c r="E19" i="82" l="1"/>
  <c r="M11" i="82"/>
  <c r="S55" i="63"/>
  <c r="S51" i="63"/>
  <c r="S41" i="63"/>
  <c r="S38" i="63"/>
  <c r="S36" i="63"/>
  <c r="S35" i="63"/>
  <c r="S34" i="63"/>
  <c r="S33" i="63"/>
  <c r="S32" i="63"/>
  <c r="S20" i="63"/>
  <c r="S16" i="63"/>
  <c r="S29" i="62"/>
  <c r="S23" i="62"/>
  <c r="S21" i="62"/>
  <c r="S15" i="62"/>
  <c r="S12" i="62"/>
  <c r="S23" i="61"/>
  <c r="S33" i="61" s="1"/>
  <c r="S12" i="61"/>
  <c r="S17" i="61" s="1"/>
  <c r="Q48" i="59"/>
  <c r="Q37" i="59"/>
  <c r="Q41" i="59" s="1"/>
  <c r="Q18" i="59"/>
  <c r="Q29" i="59" s="1"/>
  <c r="P83" i="78"/>
  <c r="P82" i="78"/>
  <c r="P78" i="78"/>
  <c r="P76" i="78"/>
  <c r="P73" i="78"/>
  <c r="P72" i="78"/>
  <c r="P71" i="78"/>
  <c r="P70" i="78"/>
  <c r="P69" i="78"/>
  <c r="P68" i="78"/>
  <c r="P67" i="78"/>
  <c r="P65" i="78"/>
  <c r="P20" i="78"/>
  <c r="P50" i="78" s="1"/>
  <c r="P16" i="78"/>
  <c r="P46" i="78" s="1"/>
  <c r="P15" i="78"/>
  <c r="P45" i="78" s="1"/>
  <c r="P14" i="78"/>
  <c r="P44" i="78" s="1"/>
  <c r="P13" i="78"/>
  <c r="P43" i="78" s="1"/>
  <c r="E87" i="78"/>
  <c r="F87" i="78"/>
  <c r="G87" i="78"/>
  <c r="H87" i="78"/>
  <c r="I87" i="78"/>
  <c r="J87" i="78"/>
  <c r="K87" i="78"/>
  <c r="L87" i="78"/>
  <c r="P63" i="78"/>
  <c r="P88" i="78" s="1"/>
  <c r="P62" i="78"/>
  <c r="P87" i="78" s="1"/>
  <c r="P61" i="78"/>
  <c r="P86" i="78" s="1"/>
  <c r="P38" i="78"/>
  <c r="P37" i="78"/>
  <c r="S70" i="57"/>
  <c r="S93" i="57" s="1"/>
  <c r="S59" i="57"/>
  <c r="S83" i="57" s="1"/>
  <c r="S58" i="57"/>
  <c r="S82" i="57" s="1"/>
  <c r="S37" i="57"/>
  <c r="S36" i="57"/>
  <c r="S20" i="57"/>
  <c r="S49" i="57" s="1"/>
  <c r="O54" i="63"/>
  <c r="O19" i="63"/>
  <c r="P54" i="63"/>
  <c r="P19" i="63"/>
  <c r="M74" i="57"/>
  <c r="N74" i="57"/>
  <c r="P91" i="78" l="1"/>
  <c r="P93" i="78"/>
  <c r="P96" i="78"/>
  <c r="P102" i="78"/>
  <c r="P74" i="78"/>
  <c r="P75" i="78" s="1"/>
  <c r="P77" i="78" s="1"/>
  <c r="P79" i="78" s="1"/>
  <c r="P92" i="78"/>
  <c r="P94" i="78"/>
  <c r="P100" i="78"/>
  <c r="S56" i="63"/>
  <c r="S59" i="63" s="1"/>
  <c r="S37" i="63"/>
  <c r="S39" i="63" s="1"/>
  <c r="S21" i="63"/>
  <c r="S25" i="63" s="1"/>
  <c r="S28" i="63" s="1"/>
  <c r="S35" i="61"/>
  <c r="Q50" i="59"/>
  <c r="P95" i="78"/>
  <c r="P97" i="78"/>
  <c r="S21" i="57"/>
  <c r="S50" i="57" s="1"/>
  <c r="S71" i="57"/>
  <c r="S94" i="57" s="1"/>
  <c r="L36" i="59"/>
  <c r="L11" i="59"/>
  <c r="K22" i="76"/>
  <c r="K23" i="76"/>
  <c r="I22" i="76"/>
  <c r="I23" i="76"/>
  <c r="H22" i="76"/>
  <c r="H23" i="76"/>
  <c r="R18" i="57"/>
  <c r="P19" i="78" s="1"/>
  <c r="P49" i="78" s="1"/>
  <c r="R17" i="57"/>
  <c r="O19" i="78"/>
  <c r="O49" i="78" s="1"/>
  <c r="O18" i="78"/>
  <c r="O48" i="78" s="1"/>
  <c r="K73" i="78"/>
  <c r="K72" i="78"/>
  <c r="K71" i="78"/>
  <c r="K18" i="78"/>
  <c r="K17" i="78"/>
  <c r="K16" i="78"/>
  <c r="N69" i="57"/>
  <c r="N68" i="57"/>
  <c r="N67" i="57"/>
  <c r="N17" i="57"/>
  <c r="N16" i="57"/>
  <c r="N15" i="57"/>
  <c r="N65" i="64"/>
  <c r="E75" i="64" s="1"/>
  <c r="F77" i="64"/>
  <c r="B70" i="64"/>
  <c r="M67" i="64"/>
  <c r="L67" i="64"/>
  <c r="K67" i="64"/>
  <c r="J67" i="64"/>
  <c r="I67" i="64"/>
  <c r="H67" i="64"/>
  <c r="G67" i="64"/>
  <c r="F67" i="64"/>
  <c r="E67" i="64"/>
  <c r="N66" i="64"/>
  <c r="E76" i="64" s="1"/>
  <c r="N64" i="64"/>
  <c r="E74" i="64" s="1"/>
  <c r="N63" i="64"/>
  <c r="E73" i="64" s="1"/>
  <c r="N62" i="64"/>
  <c r="E72" i="64" s="1"/>
  <c r="N61" i="64"/>
  <c r="E71" i="64" s="1"/>
  <c r="H47" i="75"/>
  <c r="G47" i="75"/>
  <c r="F47" i="75"/>
  <c r="H39" i="75"/>
  <c r="G39" i="75"/>
  <c r="F39" i="75"/>
  <c r="H27" i="75"/>
  <c r="G27" i="75"/>
  <c r="F27" i="75"/>
  <c r="H11" i="81"/>
  <c r="F11" i="81"/>
  <c r="D11" i="81"/>
  <c r="O24" i="76"/>
  <c r="O27" i="76" s="1"/>
  <c r="O18" i="76"/>
  <c r="O17" i="76"/>
  <c r="O11" i="76"/>
  <c r="O14" i="76" s="1"/>
  <c r="R55" i="63"/>
  <c r="R51" i="63"/>
  <c r="R41" i="63"/>
  <c r="R38" i="63"/>
  <c r="R36" i="63"/>
  <c r="R35" i="63"/>
  <c r="R34" i="63"/>
  <c r="R33" i="63"/>
  <c r="R32" i="63"/>
  <c r="R20" i="63"/>
  <c r="R16" i="63"/>
  <c r="R29" i="62"/>
  <c r="R23" i="62"/>
  <c r="R20" i="62"/>
  <c r="R19" i="62"/>
  <c r="R18" i="62"/>
  <c r="R15" i="62"/>
  <c r="R12" i="62"/>
  <c r="R23" i="61"/>
  <c r="R33" i="61" s="1"/>
  <c r="R12" i="61"/>
  <c r="R17" i="61" s="1"/>
  <c r="P48" i="59"/>
  <c r="P37" i="59"/>
  <c r="P41" i="59" s="1"/>
  <c r="P18" i="59"/>
  <c r="P29" i="59" s="1"/>
  <c r="O47" i="78"/>
  <c r="O46" i="78"/>
  <c r="O45" i="78"/>
  <c r="O44" i="78"/>
  <c r="O43" i="78"/>
  <c r="O82" i="78"/>
  <c r="O102" i="78"/>
  <c r="O100" i="78"/>
  <c r="O97" i="78"/>
  <c r="O96" i="78"/>
  <c r="O95" i="78"/>
  <c r="O94" i="78"/>
  <c r="O93" i="78"/>
  <c r="O92" i="78"/>
  <c r="O91" i="78"/>
  <c r="O63" i="78"/>
  <c r="O88" i="78" s="1"/>
  <c r="O62" i="78"/>
  <c r="O87" i="78" s="1"/>
  <c r="O61" i="78"/>
  <c r="O86" i="78" s="1"/>
  <c r="O38" i="78"/>
  <c r="O37" i="78"/>
  <c r="O30" i="78"/>
  <c r="O29" i="78"/>
  <c r="O55" i="78"/>
  <c r="O53" i="78"/>
  <c r="O20" i="78"/>
  <c r="O50" i="78" s="1"/>
  <c r="O42" i="78"/>
  <c r="P98" i="78" l="1"/>
  <c r="P99" i="78"/>
  <c r="S73" i="57"/>
  <c r="S96" i="57" s="1"/>
  <c r="S23" i="57"/>
  <c r="S52" i="57" s="1"/>
  <c r="O19" i="76"/>
  <c r="G51" i="75"/>
  <c r="R35" i="61"/>
  <c r="H51" i="75"/>
  <c r="H54" i="75" s="1"/>
  <c r="G52" i="75" s="1"/>
  <c r="G54" i="75" s="1"/>
  <c r="F52" i="75" s="1"/>
  <c r="F51" i="75"/>
  <c r="E77" i="64"/>
  <c r="N67" i="64"/>
  <c r="R56" i="63"/>
  <c r="R59" i="63" s="1"/>
  <c r="R37" i="63"/>
  <c r="R39" i="63" s="1"/>
  <c r="R21" i="63"/>
  <c r="R25" i="63" s="1"/>
  <c r="R28" i="63" s="1"/>
  <c r="R21" i="62"/>
  <c r="P50" i="59"/>
  <c r="O21" i="78"/>
  <c r="O51" i="78" s="1"/>
  <c r="O74" i="78"/>
  <c r="O98" i="78" s="1"/>
  <c r="P101" i="78" l="1"/>
  <c r="P103" i="78"/>
  <c r="S25" i="57"/>
  <c r="S54" i="57" s="1"/>
  <c r="S75" i="57"/>
  <c r="S98" i="57" s="1"/>
  <c r="F54" i="75"/>
  <c r="O22" i="78"/>
  <c r="O75" i="78"/>
  <c r="O24" i="78" l="1"/>
  <c r="O52" i="78"/>
  <c r="O77" i="78"/>
  <c r="O99" i="78"/>
  <c r="O26" i="78" l="1"/>
  <c r="O56" i="78" s="1"/>
  <c r="O54" i="78"/>
  <c r="O79" i="78"/>
  <c r="O103" i="78" s="1"/>
  <c r="O101" i="78"/>
  <c r="R44" i="57" l="1"/>
  <c r="R43" i="57"/>
  <c r="R42" i="57"/>
  <c r="R41" i="57"/>
  <c r="R40" i="57"/>
  <c r="R16" i="57"/>
  <c r="R97" i="57" l="1"/>
  <c r="R95" i="57"/>
  <c r="R92" i="57"/>
  <c r="R91" i="57"/>
  <c r="R90" i="57"/>
  <c r="R89" i="57"/>
  <c r="R88" i="57"/>
  <c r="R87" i="57"/>
  <c r="R86" i="57"/>
  <c r="R70" i="57"/>
  <c r="R93" i="57" s="1"/>
  <c r="R59" i="57"/>
  <c r="R83" i="57" s="1"/>
  <c r="R58" i="57"/>
  <c r="R82" i="57" s="1"/>
  <c r="R53" i="57"/>
  <c r="R51" i="57"/>
  <c r="R48" i="57"/>
  <c r="R47" i="57"/>
  <c r="R37" i="57"/>
  <c r="R36" i="57"/>
  <c r="R46" i="57"/>
  <c r="R20" i="57"/>
  <c r="R49" i="57" l="1"/>
  <c r="R21" i="57"/>
  <c r="R45" i="57"/>
  <c r="R71" i="57"/>
  <c r="R73" i="57" s="1"/>
  <c r="R75" i="57" s="1"/>
  <c r="R98" i="57" s="1"/>
  <c r="N73" i="78"/>
  <c r="N72" i="78"/>
  <c r="N71" i="78"/>
  <c r="N70" i="78"/>
  <c r="N69" i="78"/>
  <c r="N68" i="78"/>
  <c r="N67" i="78"/>
  <c r="Q53" i="57"/>
  <c r="Q51" i="57"/>
  <c r="Q48" i="57"/>
  <c r="Q47" i="57"/>
  <c r="Q44" i="57"/>
  <c r="Q43" i="57"/>
  <c r="Q42" i="57"/>
  <c r="Q41" i="57"/>
  <c r="N76" i="78"/>
  <c r="N23" i="78"/>
  <c r="Q97" i="57"/>
  <c r="Q95" i="57"/>
  <c r="Q92" i="57"/>
  <c r="Q91" i="57"/>
  <c r="Q90" i="57"/>
  <c r="Q89" i="57"/>
  <c r="Q88" i="57"/>
  <c r="Q87" i="57"/>
  <c r="Q86" i="57"/>
  <c r="Q59" i="57"/>
  <c r="Q40" i="57"/>
  <c r="C24" i="76"/>
  <c r="C27" i="76" s="1"/>
  <c r="C18" i="76"/>
  <c r="C17" i="76"/>
  <c r="C11" i="76"/>
  <c r="C14" i="76" s="1"/>
  <c r="G24" i="76"/>
  <c r="G27" i="76" s="1"/>
  <c r="F24" i="76"/>
  <c r="F27" i="76" s="1"/>
  <c r="E24" i="76"/>
  <c r="E27" i="76" s="1"/>
  <c r="D24" i="76"/>
  <c r="D27" i="76" s="1"/>
  <c r="G11" i="76"/>
  <c r="F11" i="76"/>
  <c r="E11" i="76"/>
  <c r="E14" i="76" s="1"/>
  <c r="D11" i="76"/>
  <c r="D14" i="76" s="1"/>
  <c r="G14" i="76"/>
  <c r="F14" i="76"/>
  <c r="G18" i="76"/>
  <c r="F18" i="76"/>
  <c r="E18" i="76"/>
  <c r="D18" i="76"/>
  <c r="G17" i="76"/>
  <c r="G19" i="76" s="1"/>
  <c r="F17" i="76"/>
  <c r="F19" i="76" s="1"/>
  <c r="E17" i="76"/>
  <c r="E19" i="76" s="1"/>
  <c r="D17" i="76"/>
  <c r="D19" i="76" s="1"/>
  <c r="R94" i="57" l="1"/>
  <c r="R50" i="57"/>
  <c r="R23" i="57"/>
  <c r="N74" i="78"/>
  <c r="C19" i="76"/>
  <c r="R52" i="57" l="1"/>
  <c r="R25" i="57"/>
  <c r="R54" i="57" s="1"/>
  <c r="R96" i="57"/>
  <c r="Q17" i="57"/>
  <c r="Q16" i="57"/>
  <c r="Q46" i="57" l="1"/>
  <c r="P18" i="78"/>
  <c r="P48" i="78" s="1"/>
  <c r="Q45" i="57"/>
  <c r="P17" i="78"/>
  <c r="P47" i="78" s="1"/>
  <c r="O10" i="59"/>
  <c r="O9" i="59"/>
  <c r="K17" i="57"/>
  <c r="K15" i="57"/>
  <c r="P21" i="78" l="1"/>
  <c r="L17" i="57"/>
  <c r="L15" i="57"/>
  <c r="P22" i="78" l="1"/>
  <c r="P52" i="78" s="1"/>
  <c r="P51" i="78"/>
  <c r="M69" i="57"/>
  <c r="M68" i="57"/>
  <c r="M67" i="57"/>
  <c r="M17" i="57"/>
  <c r="M16" i="57"/>
  <c r="K24" i="76"/>
  <c r="K27" i="76" s="1"/>
  <c r="K18" i="76"/>
  <c r="K17" i="76"/>
  <c r="K11" i="76"/>
  <c r="N24" i="76"/>
  <c r="N27" i="76" s="1"/>
  <c r="M24" i="76"/>
  <c r="M27" i="76" s="1"/>
  <c r="L24" i="76"/>
  <c r="N18" i="76"/>
  <c r="M18" i="76"/>
  <c r="L18" i="76"/>
  <c r="N17" i="76"/>
  <c r="M17" i="76"/>
  <c r="L17" i="76"/>
  <c r="N11" i="76"/>
  <c r="N14" i="76" s="1"/>
  <c r="M11" i="76"/>
  <c r="M14" i="76" s="1"/>
  <c r="L11" i="76"/>
  <c r="M15" i="57"/>
  <c r="F57" i="64"/>
  <c r="B51" i="64"/>
  <c r="M48" i="64"/>
  <c r="L48" i="64"/>
  <c r="K48" i="64"/>
  <c r="J48" i="64"/>
  <c r="I48" i="64"/>
  <c r="H48" i="64"/>
  <c r="G48" i="64"/>
  <c r="F48" i="64"/>
  <c r="E48" i="64"/>
  <c r="N47" i="64"/>
  <c r="E56" i="64" s="1"/>
  <c r="N46" i="64"/>
  <c r="E55" i="64" s="1"/>
  <c r="N45" i="64"/>
  <c r="E54" i="64" s="1"/>
  <c r="N44" i="64"/>
  <c r="E53" i="64" s="1"/>
  <c r="N43" i="64"/>
  <c r="E52" i="64" s="1"/>
  <c r="J24" i="76"/>
  <c r="J27" i="76" s="1"/>
  <c r="J18" i="76"/>
  <c r="J17" i="76"/>
  <c r="J11" i="76"/>
  <c r="J14" i="76" s="1"/>
  <c r="Q55" i="63"/>
  <c r="Q51" i="63"/>
  <c r="Q41" i="63"/>
  <c r="Q36" i="63"/>
  <c r="Q35" i="63"/>
  <c r="Q34" i="63"/>
  <c r="Q33" i="63"/>
  <c r="Q32" i="63"/>
  <c r="Q38" i="63"/>
  <c r="Q16" i="63"/>
  <c r="Q29" i="62"/>
  <c r="Q23" i="62"/>
  <c r="Q20" i="62"/>
  <c r="Q19" i="62"/>
  <c r="Q18" i="62"/>
  <c r="Q15" i="62"/>
  <c r="Q12" i="62"/>
  <c r="Q23" i="61"/>
  <c r="Q33" i="61" s="1"/>
  <c r="Q12" i="61"/>
  <c r="Q17" i="61" s="1"/>
  <c r="O48" i="59"/>
  <c r="O37" i="59"/>
  <c r="O41" i="59" s="1"/>
  <c r="O18" i="59"/>
  <c r="O29" i="59" s="1"/>
  <c r="N30" i="78"/>
  <c r="N29" i="78"/>
  <c r="N15" i="78"/>
  <c r="N14" i="78"/>
  <c r="N13" i="78"/>
  <c r="N83" i="78"/>
  <c r="N82" i="78"/>
  <c r="N65" i="78"/>
  <c r="N63" i="78"/>
  <c r="N88" i="78" s="1"/>
  <c r="N62" i="78"/>
  <c r="N87" i="78" s="1"/>
  <c r="N61" i="78"/>
  <c r="N86" i="78" s="1"/>
  <c r="N38" i="78"/>
  <c r="N37" i="78"/>
  <c r="N34" i="78"/>
  <c r="N33" i="78"/>
  <c r="N25" i="78"/>
  <c r="N20" i="78"/>
  <c r="N19" i="78"/>
  <c r="N18" i="78"/>
  <c r="N17" i="78"/>
  <c r="N16" i="78"/>
  <c r="N12" i="78"/>
  <c r="N10" i="78"/>
  <c r="L14" i="76" l="1"/>
  <c r="L27" i="76"/>
  <c r="P24" i="78"/>
  <c r="P54" i="78" s="1"/>
  <c r="L19" i="76"/>
  <c r="K19" i="76"/>
  <c r="N42" i="78"/>
  <c r="N21" i="78"/>
  <c r="N51" i="78" s="1"/>
  <c r="N75" i="78"/>
  <c r="N92" i="78"/>
  <c r="N96" i="78"/>
  <c r="N91" i="78"/>
  <c r="N95" i="78"/>
  <c r="N100" i="78"/>
  <c r="N94" i="78"/>
  <c r="N93" i="78"/>
  <c r="N97" i="78"/>
  <c r="N98" i="78"/>
  <c r="N47" i="78"/>
  <c r="N49" i="78"/>
  <c r="N55" i="78"/>
  <c r="N44" i="78"/>
  <c r="N53" i="78"/>
  <c r="N46" i="78"/>
  <c r="N48" i="78"/>
  <c r="N50" i="78"/>
  <c r="N43" i="78"/>
  <c r="N45" i="78"/>
  <c r="K14" i="76"/>
  <c r="M19" i="76"/>
  <c r="N19" i="76"/>
  <c r="J19" i="76"/>
  <c r="E57" i="64"/>
  <c r="N48" i="64"/>
  <c r="Q56" i="63"/>
  <c r="Q59" i="63" s="1"/>
  <c r="Q37" i="63"/>
  <c r="Q39" i="63" s="1"/>
  <c r="Q20" i="63"/>
  <c r="Q21" i="62"/>
  <c r="Q35" i="61"/>
  <c r="O50" i="59"/>
  <c r="Q70" i="57"/>
  <c r="Q93" i="57" s="1"/>
  <c r="Q83" i="57"/>
  <c r="Q58" i="57"/>
  <c r="Q82" i="57" s="1"/>
  <c r="Q37" i="57"/>
  <c r="Q36" i="57"/>
  <c r="Q20" i="57"/>
  <c r="Q49" i="57" s="1"/>
  <c r="M26" i="65"/>
  <c r="L70" i="57"/>
  <c r="K12" i="57"/>
  <c r="L16" i="57"/>
  <c r="L12" i="57"/>
  <c r="P26" i="78" l="1"/>
  <c r="P56" i="78" s="1"/>
  <c r="N22" i="78"/>
  <c r="N52" i="78" s="1"/>
  <c r="Q21" i="63"/>
  <c r="Q25" i="63" s="1"/>
  <c r="Q28" i="63" s="1"/>
  <c r="N99" i="78"/>
  <c r="N77" i="78"/>
  <c r="N101" i="78" s="1"/>
  <c r="Q21" i="57"/>
  <c r="Q50" i="57" s="1"/>
  <c r="Q71" i="57"/>
  <c r="Q94" i="57" s="1"/>
  <c r="G18" i="59"/>
  <c r="G29" i="59" s="1"/>
  <c r="D18" i="59"/>
  <c r="N24" i="78" l="1"/>
  <c r="N54" i="78" s="1"/>
  <c r="Q23" i="57"/>
  <c r="Q52" i="57" s="1"/>
  <c r="Q73" i="57"/>
  <c r="Q96" i="57" s="1"/>
  <c r="K95" i="78"/>
  <c r="K94" i="78"/>
  <c r="K93" i="78"/>
  <c r="K92" i="78"/>
  <c r="M83" i="78"/>
  <c r="L83" i="78"/>
  <c r="J83" i="78"/>
  <c r="I83" i="78"/>
  <c r="H83" i="78"/>
  <c r="F83" i="78"/>
  <c r="E83" i="78"/>
  <c r="M82" i="78"/>
  <c r="L82" i="78"/>
  <c r="J82" i="78"/>
  <c r="I82" i="78"/>
  <c r="H82" i="78"/>
  <c r="F82" i="78"/>
  <c r="E82" i="78"/>
  <c r="E78" i="78"/>
  <c r="E76" i="78"/>
  <c r="M73" i="78"/>
  <c r="L73" i="78"/>
  <c r="J73" i="78"/>
  <c r="I73" i="78"/>
  <c r="H73" i="78"/>
  <c r="F73" i="78"/>
  <c r="E73" i="78"/>
  <c r="M72" i="78"/>
  <c r="L72" i="78"/>
  <c r="J72" i="78"/>
  <c r="I72" i="78"/>
  <c r="H72" i="78"/>
  <c r="F72" i="78"/>
  <c r="E72" i="78"/>
  <c r="M71" i="78"/>
  <c r="L71" i="78"/>
  <c r="J71" i="78"/>
  <c r="I71" i="78"/>
  <c r="H71" i="78"/>
  <c r="F71" i="78"/>
  <c r="E71" i="78"/>
  <c r="M70" i="78"/>
  <c r="L70" i="78"/>
  <c r="J70" i="78"/>
  <c r="I70" i="78"/>
  <c r="H70" i="78"/>
  <c r="F70" i="78"/>
  <c r="E70" i="78"/>
  <c r="M69" i="78"/>
  <c r="L69" i="78"/>
  <c r="J69" i="78"/>
  <c r="I69" i="78"/>
  <c r="H69" i="78"/>
  <c r="F69" i="78"/>
  <c r="E69" i="78"/>
  <c r="M68" i="78"/>
  <c r="L68" i="78"/>
  <c r="J68" i="78"/>
  <c r="I68" i="78"/>
  <c r="H68" i="78"/>
  <c r="F68" i="78"/>
  <c r="E68" i="78"/>
  <c r="M67" i="78"/>
  <c r="L67" i="78"/>
  <c r="J67" i="78"/>
  <c r="I67" i="78"/>
  <c r="H67" i="78"/>
  <c r="F67" i="78"/>
  <c r="E67" i="78"/>
  <c r="M65" i="78"/>
  <c r="L65" i="78"/>
  <c r="J65" i="78"/>
  <c r="I65" i="78"/>
  <c r="H65" i="78"/>
  <c r="G65" i="78"/>
  <c r="G94" i="78" s="1"/>
  <c r="F65" i="78"/>
  <c r="E65" i="78"/>
  <c r="M34" i="78"/>
  <c r="L34" i="78"/>
  <c r="J34" i="78"/>
  <c r="I34" i="78"/>
  <c r="H34" i="78"/>
  <c r="G34" i="78"/>
  <c r="F34" i="78"/>
  <c r="E34" i="78"/>
  <c r="M33" i="78"/>
  <c r="L33" i="78"/>
  <c r="J33" i="78"/>
  <c r="I33" i="78"/>
  <c r="H33" i="78"/>
  <c r="G33" i="78"/>
  <c r="F33" i="78"/>
  <c r="E33" i="78"/>
  <c r="M30" i="78"/>
  <c r="L30" i="78"/>
  <c r="J30" i="78"/>
  <c r="I30" i="78"/>
  <c r="H30" i="78"/>
  <c r="F30" i="78"/>
  <c r="E30" i="78"/>
  <c r="M29" i="78"/>
  <c r="L29" i="78"/>
  <c r="J29" i="78"/>
  <c r="I29" i="78"/>
  <c r="H29" i="78"/>
  <c r="F29" i="78"/>
  <c r="E29" i="78"/>
  <c r="M25" i="78"/>
  <c r="L25" i="78"/>
  <c r="K25" i="78"/>
  <c r="J25" i="78"/>
  <c r="I25" i="78"/>
  <c r="H25" i="78"/>
  <c r="G25" i="78"/>
  <c r="F25" i="78"/>
  <c r="E25" i="78"/>
  <c r="M23" i="78"/>
  <c r="L23" i="78"/>
  <c r="K23" i="78"/>
  <c r="J23" i="78"/>
  <c r="I23" i="78"/>
  <c r="H23" i="78"/>
  <c r="G23" i="78"/>
  <c r="F23" i="78"/>
  <c r="E23" i="78"/>
  <c r="M20" i="78"/>
  <c r="L20" i="78"/>
  <c r="J20" i="78"/>
  <c r="I20" i="78"/>
  <c r="H20" i="78"/>
  <c r="F20" i="78"/>
  <c r="E20" i="78"/>
  <c r="M19" i="78"/>
  <c r="L19" i="78"/>
  <c r="J19" i="78"/>
  <c r="I19" i="78"/>
  <c r="H19" i="78"/>
  <c r="F19" i="78"/>
  <c r="E19" i="78"/>
  <c r="M18" i="78"/>
  <c r="L18" i="78"/>
  <c r="J18" i="78"/>
  <c r="I18" i="78"/>
  <c r="H18" i="78"/>
  <c r="F18" i="78"/>
  <c r="E18" i="78"/>
  <c r="M17" i="78"/>
  <c r="L17" i="78"/>
  <c r="J17" i="78"/>
  <c r="I17" i="78"/>
  <c r="H17" i="78"/>
  <c r="F17" i="78"/>
  <c r="E17" i="78"/>
  <c r="M16" i="78"/>
  <c r="L16" i="78"/>
  <c r="J16" i="78"/>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K10" i="78"/>
  <c r="K46" i="78" s="1"/>
  <c r="J10" i="78"/>
  <c r="I10" i="78"/>
  <c r="H10" i="78"/>
  <c r="G10" i="78"/>
  <c r="G46" i="78" s="1"/>
  <c r="F10" i="78"/>
  <c r="E10" i="78"/>
  <c r="L88" i="78"/>
  <c r="K88" i="78"/>
  <c r="J88" i="78"/>
  <c r="I88" i="78"/>
  <c r="H88" i="78"/>
  <c r="G88" i="78"/>
  <c r="F88" i="78"/>
  <c r="E88" i="78"/>
  <c r="M63" i="78"/>
  <c r="M88" i="78" s="1"/>
  <c r="M62" i="78"/>
  <c r="M87" i="78" s="1"/>
  <c r="M61" i="78"/>
  <c r="M86" i="78" s="1"/>
  <c r="L61" i="78"/>
  <c r="L86" i="78" s="1"/>
  <c r="K61" i="78"/>
  <c r="K86" i="78" s="1"/>
  <c r="J61" i="78"/>
  <c r="J86" i="78" s="1"/>
  <c r="I61" i="78"/>
  <c r="I86" i="78" s="1"/>
  <c r="H61" i="78"/>
  <c r="H86" i="78" s="1"/>
  <c r="G61" i="78"/>
  <c r="G86" i="78" s="1"/>
  <c r="F61" i="78"/>
  <c r="F86" i="78" s="1"/>
  <c r="E61" i="78"/>
  <c r="E86" i="78" s="1"/>
  <c r="M38" i="78"/>
  <c r="L38" i="78"/>
  <c r="K38" i="78"/>
  <c r="J38" i="78"/>
  <c r="I38" i="78"/>
  <c r="H38" i="78"/>
  <c r="G38" i="78"/>
  <c r="F38" i="78"/>
  <c r="E38" i="78"/>
  <c r="M37" i="78"/>
  <c r="L37" i="78"/>
  <c r="K37" i="78"/>
  <c r="J37" i="78"/>
  <c r="I37" i="78"/>
  <c r="H37" i="78"/>
  <c r="G37" i="78"/>
  <c r="F37" i="78"/>
  <c r="E37" i="78"/>
  <c r="N26" i="78" l="1"/>
  <c r="N56" i="78" s="1"/>
  <c r="Q25" i="57"/>
  <c r="Q54" i="57" s="1"/>
  <c r="Q75" i="57"/>
  <c r="Q98" i="57" s="1"/>
  <c r="E43" i="78"/>
  <c r="H43" i="78"/>
  <c r="J43" i="78"/>
  <c r="M43" i="78"/>
  <c r="F44" i="78"/>
  <c r="I44" i="78"/>
  <c r="L44" i="78"/>
  <c r="E45" i="78"/>
  <c r="H45" i="78"/>
  <c r="J45" i="78"/>
  <c r="M45" i="78"/>
  <c r="F46" i="78"/>
  <c r="I46" i="78"/>
  <c r="L46" i="78"/>
  <c r="F92" i="78"/>
  <c r="I92" i="78"/>
  <c r="L92" i="78"/>
  <c r="E93" i="78"/>
  <c r="H93" i="78"/>
  <c r="J93" i="78"/>
  <c r="M93" i="78"/>
  <c r="F94" i="78"/>
  <c r="I94" i="78"/>
  <c r="L94" i="78"/>
  <c r="E95" i="78"/>
  <c r="H95" i="78"/>
  <c r="J95" i="78"/>
  <c r="M95" i="78"/>
  <c r="F43" i="78"/>
  <c r="I43" i="78"/>
  <c r="L43" i="78"/>
  <c r="E44" i="78"/>
  <c r="H44" i="78"/>
  <c r="J44" i="78"/>
  <c r="M44" i="78"/>
  <c r="F45" i="78"/>
  <c r="I45" i="78"/>
  <c r="L45" i="78"/>
  <c r="E46" i="78"/>
  <c r="H46" i="78"/>
  <c r="J46" i="78"/>
  <c r="M46" i="78"/>
  <c r="E92" i="78"/>
  <c r="H92" i="78"/>
  <c r="J92" i="78"/>
  <c r="M92" i="78"/>
  <c r="F93" i="78"/>
  <c r="I93" i="78"/>
  <c r="L93" i="78"/>
  <c r="E94" i="78"/>
  <c r="H94" i="78"/>
  <c r="J94" i="78"/>
  <c r="M94" i="78"/>
  <c r="F95" i="78"/>
  <c r="I95" i="78"/>
  <c r="L95" i="78"/>
  <c r="G43" i="78"/>
  <c r="K43" i="78"/>
  <c r="G45" i="78"/>
  <c r="K45" i="78"/>
  <c r="G93" i="78"/>
  <c r="G95" i="78"/>
  <c r="G44" i="78"/>
  <c r="K44" i="78"/>
  <c r="G92" i="78"/>
  <c r="F42" i="78"/>
  <c r="H42" i="78"/>
  <c r="J42" i="78"/>
  <c r="L42" i="78"/>
  <c r="F47" i="78"/>
  <c r="H47" i="78"/>
  <c r="J47" i="78"/>
  <c r="L47" i="78"/>
  <c r="E48" i="78"/>
  <c r="G48" i="78"/>
  <c r="I48" i="78"/>
  <c r="K48" i="78"/>
  <c r="M48" i="78"/>
  <c r="F49" i="78"/>
  <c r="H49" i="78"/>
  <c r="J49" i="78"/>
  <c r="L49" i="78"/>
  <c r="E50" i="78"/>
  <c r="G50" i="78"/>
  <c r="I50" i="78"/>
  <c r="K50" i="78"/>
  <c r="M50" i="78"/>
  <c r="F53" i="78"/>
  <c r="H53" i="78"/>
  <c r="J53" i="78"/>
  <c r="L53" i="78"/>
  <c r="E55" i="78"/>
  <c r="G55" i="78"/>
  <c r="I55" i="78"/>
  <c r="K55" i="78"/>
  <c r="M55" i="78"/>
  <c r="F91" i="78"/>
  <c r="H91" i="78"/>
  <c r="J91" i="78"/>
  <c r="L91" i="78"/>
  <c r="F96" i="78"/>
  <c r="H96" i="78"/>
  <c r="J96" i="78"/>
  <c r="L96" i="78"/>
  <c r="E97" i="78"/>
  <c r="G97" i="78"/>
  <c r="I97" i="78"/>
  <c r="K97" i="78"/>
  <c r="M97" i="78"/>
  <c r="E102" i="78"/>
  <c r="E42" i="78"/>
  <c r="G42" i="78"/>
  <c r="I42" i="78"/>
  <c r="K42" i="78"/>
  <c r="M42" i="78"/>
  <c r="E47" i="78"/>
  <c r="G47" i="78"/>
  <c r="I47" i="78"/>
  <c r="K47" i="78"/>
  <c r="M47" i="78"/>
  <c r="F48" i="78"/>
  <c r="H48" i="78"/>
  <c r="J48" i="78"/>
  <c r="L48" i="78"/>
  <c r="E49" i="78"/>
  <c r="G49" i="78"/>
  <c r="I49" i="78"/>
  <c r="K49" i="78"/>
  <c r="M49" i="78"/>
  <c r="F50" i="78"/>
  <c r="H50" i="78"/>
  <c r="J50" i="78"/>
  <c r="L50" i="78"/>
  <c r="E53" i="78"/>
  <c r="G53" i="78"/>
  <c r="I53" i="78"/>
  <c r="K53" i="78"/>
  <c r="M53" i="78"/>
  <c r="F55" i="78"/>
  <c r="H55" i="78"/>
  <c r="J55" i="78"/>
  <c r="L55" i="78"/>
  <c r="E91" i="78"/>
  <c r="G91" i="78"/>
  <c r="I91" i="78"/>
  <c r="K91" i="78"/>
  <c r="M91" i="78"/>
  <c r="E96" i="78"/>
  <c r="G96" i="78"/>
  <c r="I96" i="78"/>
  <c r="K96" i="78"/>
  <c r="M96" i="78"/>
  <c r="F97" i="78"/>
  <c r="H97" i="78"/>
  <c r="J97" i="78"/>
  <c r="L97" i="78"/>
  <c r="E100" i="78"/>
  <c r="F21" i="78"/>
  <c r="F51" i="78" s="1"/>
  <c r="H21" i="78"/>
  <c r="H51" i="78" s="1"/>
  <c r="J21" i="78"/>
  <c r="J51" i="78" s="1"/>
  <c r="L21" i="78"/>
  <c r="L51" i="78" s="1"/>
  <c r="F74" i="78"/>
  <c r="F98" i="78" s="1"/>
  <c r="H74" i="78"/>
  <c r="H98" i="78" s="1"/>
  <c r="J74" i="78"/>
  <c r="J98" i="78" s="1"/>
  <c r="L74" i="78"/>
  <c r="L98" i="78" s="1"/>
  <c r="E21" i="78"/>
  <c r="E51" i="78" s="1"/>
  <c r="G21" i="78"/>
  <c r="G51" i="78" s="1"/>
  <c r="I21" i="78"/>
  <c r="I51" i="78" s="1"/>
  <c r="K21" i="78"/>
  <c r="K51" i="78" s="1"/>
  <c r="M21" i="78"/>
  <c r="M51" i="78" s="1"/>
  <c r="E74" i="78"/>
  <c r="E98" i="78" s="1"/>
  <c r="G74" i="78"/>
  <c r="G98" i="78" s="1"/>
  <c r="I74" i="78"/>
  <c r="I98" i="78" s="1"/>
  <c r="K74" i="78"/>
  <c r="K98" i="78" s="1"/>
  <c r="M74" i="78"/>
  <c r="M98" i="78" s="1"/>
  <c r="J75" i="78" l="1"/>
  <c r="F75" i="78"/>
  <c r="J22" i="78"/>
  <c r="M75" i="78"/>
  <c r="I75" i="78"/>
  <c r="E75" i="78"/>
  <c r="K22" i="78"/>
  <c r="G22" i="78"/>
  <c r="H22" i="78"/>
  <c r="L75" i="78"/>
  <c r="H75" i="78"/>
  <c r="L22" i="78"/>
  <c r="F22" i="78"/>
  <c r="K75" i="78"/>
  <c r="G75" i="78"/>
  <c r="M22" i="78"/>
  <c r="I22" i="78"/>
  <c r="E22" i="78"/>
  <c r="I52" i="78" l="1"/>
  <c r="I24" i="78"/>
  <c r="G99" i="78"/>
  <c r="F52" i="78"/>
  <c r="F24" i="78"/>
  <c r="H99" i="78"/>
  <c r="H52" i="78"/>
  <c r="H24" i="78"/>
  <c r="K52" i="78"/>
  <c r="K24" i="78"/>
  <c r="I99" i="78"/>
  <c r="J52" i="78"/>
  <c r="J24" i="78"/>
  <c r="J99" i="78"/>
  <c r="E52" i="78"/>
  <c r="E24" i="78"/>
  <c r="M52" i="78"/>
  <c r="M24" i="78"/>
  <c r="K99" i="78"/>
  <c r="L52" i="78"/>
  <c r="L24" i="78"/>
  <c r="L99" i="78"/>
  <c r="G52" i="78"/>
  <c r="G24" i="78"/>
  <c r="E99" i="78"/>
  <c r="E77" i="78"/>
  <c r="M99" i="78"/>
  <c r="F99" i="78"/>
  <c r="E101" i="78" l="1"/>
  <c r="E79" i="78"/>
  <c r="E103" i="78" s="1"/>
  <c r="G54" i="78"/>
  <c r="G26" i="78"/>
  <c r="G56" i="78" s="1"/>
  <c r="L54" i="78"/>
  <c r="L26" i="78"/>
  <c r="L56" i="78" s="1"/>
  <c r="M54" i="78"/>
  <c r="M26" i="78"/>
  <c r="M56" i="78" s="1"/>
  <c r="E54" i="78"/>
  <c r="E26" i="78"/>
  <c r="E56" i="78" s="1"/>
  <c r="J54" i="78"/>
  <c r="J26" i="78"/>
  <c r="J56" i="78" s="1"/>
  <c r="K54" i="78"/>
  <c r="K26" i="78"/>
  <c r="K56" i="78" s="1"/>
  <c r="H54" i="78"/>
  <c r="H26" i="78"/>
  <c r="H56" i="78" s="1"/>
  <c r="F54" i="78"/>
  <c r="F26" i="78"/>
  <c r="F56" i="78" s="1"/>
  <c r="I54" i="78"/>
  <c r="I26" i="78"/>
  <c r="I56" i="78" s="1"/>
  <c r="F55" i="63" l="1"/>
  <c r="F51" i="63"/>
  <c r="F41" i="63"/>
  <c r="F38" i="63"/>
  <c r="F36" i="63"/>
  <c r="F35" i="63"/>
  <c r="F34" i="63"/>
  <c r="F33" i="63"/>
  <c r="F32" i="63"/>
  <c r="F18" i="62"/>
  <c r="F20" i="62"/>
  <c r="F19" i="62"/>
  <c r="F29" i="62"/>
  <c r="F18" i="59"/>
  <c r="F29" i="59" s="1"/>
  <c r="E18" i="59"/>
  <c r="N78" i="78"/>
  <c r="N102" i="78" s="1"/>
  <c r="I74" i="57"/>
  <c r="F21" i="62" l="1"/>
  <c r="N79" i="78"/>
  <c r="N103" i="78" s="1"/>
  <c r="H78" i="78"/>
  <c r="H102" i="78" s="1"/>
  <c r="F78" i="78"/>
  <c r="F102" i="78" s="1"/>
  <c r="I78" i="78"/>
  <c r="I102" i="78" s="1"/>
  <c r="G78" i="78"/>
  <c r="G102" i="78" s="1"/>
  <c r="L78" i="78"/>
  <c r="J78" i="78"/>
  <c r="J102" i="78" s="1"/>
  <c r="M78" i="78"/>
  <c r="M102" i="78" s="1"/>
  <c r="K78" i="78"/>
  <c r="K102" i="78" s="1"/>
  <c r="I76" i="78"/>
  <c r="G76" i="78"/>
  <c r="H76" i="78"/>
  <c r="F76" i="78"/>
  <c r="M76" i="78"/>
  <c r="K76" i="78"/>
  <c r="L76" i="78"/>
  <c r="J76" i="78"/>
  <c r="F37" i="63"/>
  <c r="F39" i="63" s="1"/>
  <c r="F56" i="63"/>
  <c r="P43" i="57"/>
  <c r="O43" i="57"/>
  <c r="N43" i="57"/>
  <c r="M43" i="57"/>
  <c r="L43" i="57"/>
  <c r="K43" i="57"/>
  <c r="J43" i="57"/>
  <c r="I43" i="57"/>
  <c r="H43" i="57"/>
  <c r="G43" i="57"/>
  <c r="F43" i="57"/>
  <c r="E43" i="57"/>
  <c r="P42" i="57"/>
  <c r="O42" i="57"/>
  <c r="N42" i="57"/>
  <c r="M42" i="57"/>
  <c r="L42" i="57"/>
  <c r="K42" i="57"/>
  <c r="J42" i="57"/>
  <c r="I42" i="57"/>
  <c r="H42" i="57"/>
  <c r="G42" i="57"/>
  <c r="F42" i="57"/>
  <c r="E42" i="57"/>
  <c r="P41" i="57"/>
  <c r="O41" i="57"/>
  <c r="N41" i="57"/>
  <c r="M41" i="57"/>
  <c r="L41" i="57"/>
  <c r="K41" i="57"/>
  <c r="J41" i="57"/>
  <c r="I41" i="57"/>
  <c r="H41" i="57"/>
  <c r="G41" i="57"/>
  <c r="F41" i="57"/>
  <c r="E41" i="57"/>
  <c r="P90" i="57"/>
  <c r="O90" i="57"/>
  <c r="N90" i="57"/>
  <c r="M90" i="57"/>
  <c r="L90" i="57"/>
  <c r="K90" i="57"/>
  <c r="J90" i="57"/>
  <c r="I90" i="57"/>
  <c r="H90" i="57"/>
  <c r="G90" i="57"/>
  <c r="F90" i="57"/>
  <c r="E90" i="57"/>
  <c r="P89" i="57"/>
  <c r="O89" i="57"/>
  <c r="N89" i="57"/>
  <c r="M89" i="57"/>
  <c r="L89" i="57"/>
  <c r="K89" i="57"/>
  <c r="J89" i="57"/>
  <c r="I89" i="57"/>
  <c r="H89" i="57"/>
  <c r="G89" i="57"/>
  <c r="F89" i="57"/>
  <c r="E89" i="57"/>
  <c r="P88" i="57"/>
  <c r="O88" i="57"/>
  <c r="N88" i="57"/>
  <c r="M88" i="57"/>
  <c r="L88" i="57"/>
  <c r="K88" i="57"/>
  <c r="J88" i="57"/>
  <c r="I88" i="57"/>
  <c r="H88" i="57"/>
  <c r="G88" i="57"/>
  <c r="F88" i="57"/>
  <c r="E88" i="57"/>
  <c r="P87" i="57"/>
  <c r="O87" i="57"/>
  <c r="N87" i="57"/>
  <c r="M87" i="57"/>
  <c r="L87" i="57"/>
  <c r="K87" i="57"/>
  <c r="J87" i="57"/>
  <c r="I87" i="57"/>
  <c r="H87" i="57"/>
  <c r="G87" i="57"/>
  <c r="F87" i="57"/>
  <c r="E87" i="57"/>
  <c r="E86" i="57"/>
  <c r="L102" i="78" l="1"/>
  <c r="F59" i="63"/>
  <c r="L100" i="78"/>
  <c r="L77" i="78"/>
  <c r="M100" i="78"/>
  <c r="M77" i="78"/>
  <c r="H100" i="78"/>
  <c r="H77" i="78"/>
  <c r="I100" i="78"/>
  <c r="I77" i="78"/>
  <c r="J100" i="78"/>
  <c r="J77" i="78"/>
  <c r="K100" i="78"/>
  <c r="K77" i="78"/>
  <c r="F100" i="78"/>
  <c r="F77" i="78"/>
  <c r="G100" i="78"/>
  <c r="G77" i="78"/>
  <c r="F39" i="64"/>
  <c r="B33" i="64"/>
  <c r="M30" i="64"/>
  <c r="L30" i="64"/>
  <c r="K30" i="64"/>
  <c r="J30" i="64"/>
  <c r="I30" i="64"/>
  <c r="H30" i="64"/>
  <c r="G30" i="64"/>
  <c r="F30" i="64"/>
  <c r="E30" i="64"/>
  <c r="N29" i="64"/>
  <c r="E38" i="64" s="1"/>
  <c r="N28" i="64"/>
  <c r="E37" i="64" s="1"/>
  <c r="N27" i="64"/>
  <c r="E36" i="64" s="1"/>
  <c r="N26" i="64"/>
  <c r="N25" i="64"/>
  <c r="E34" i="64" s="1"/>
  <c r="H17" i="76"/>
  <c r="I18" i="76"/>
  <c r="I17" i="76"/>
  <c r="H18" i="76"/>
  <c r="I24" i="76"/>
  <c r="I27" i="76" s="1"/>
  <c r="I11" i="76"/>
  <c r="I14" i="76" s="1"/>
  <c r="E39" i="64" l="1"/>
  <c r="G79" i="78"/>
  <c r="G103" i="78" s="1"/>
  <c r="G101" i="78"/>
  <c r="F79" i="78"/>
  <c r="F103" i="78" s="1"/>
  <c r="F101" i="78"/>
  <c r="K79" i="78"/>
  <c r="K103" i="78" s="1"/>
  <c r="K101" i="78"/>
  <c r="J79" i="78"/>
  <c r="J103" i="78" s="1"/>
  <c r="J101" i="78"/>
  <c r="I101" i="78"/>
  <c r="I79" i="78"/>
  <c r="I103" i="78" s="1"/>
  <c r="H79" i="78"/>
  <c r="H103" i="78" s="1"/>
  <c r="H101" i="78"/>
  <c r="M79" i="78"/>
  <c r="M103" i="78" s="1"/>
  <c r="M101" i="78"/>
  <c r="L79" i="78"/>
  <c r="L103" i="78" s="1"/>
  <c r="L101" i="78"/>
  <c r="I19" i="76"/>
  <c r="N30" i="64"/>
  <c r="P70" i="57"/>
  <c r="P97" i="57"/>
  <c r="P95" i="57"/>
  <c r="P92" i="57"/>
  <c r="P91" i="57"/>
  <c r="P86" i="57"/>
  <c r="P53" i="57"/>
  <c r="P51" i="57"/>
  <c r="P48" i="57"/>
  <c r="P47" i="57"/>
  <c r="P46" i="57"/>
  <c r="P45" i="57"/>
  <c r="P44" i="57"/>
  <c r="H11" i="76"/>
  <c r="H24" i="76"/>
  <c r="H27" i="76" s="1"/>
  <c r="H19" i="76"/>
  <c r="O70" i="57"/>
  <c r="N70" i="57"/>
  <c r="N71" i="57" s="1"/>
  <c r="M70" i="57"/>
  <c r="M71" i="57" s="1"/>
  <c r="L71" i="57"/>
  <c r="K70" i="57"/>
  <c r="K71" i="57" s="1"/>
  <c r="J70" i="57"/>
  <c r="J71" i="57" s="1"/>
  <c r="I70" i="57"/>
  <c r="I71" i="57" s="1"/>
  <c r="H70" i="57"/>
  <c r="H71" i="57" s="1"/>
  <c r="G70" i="57"/>
  <c r="G71" i="57" s="1"/>
  <c r="F70" i="57"/>
  <c r="F71" i="57" s="1"/>
  <c r="E70" i="57"/>
  <c r="E71" i="57" s="1"/>
  <c r="O20" i="57"/>
  <c r="N20" i="57"/>
  <c r="N21" i="57" s="1"/>
  <c r="M20" i="57"/>
  <c r="M21" i="57" s="1"/>
  <c r="L20" i="57"/>
  <c r="L21" i="57" s="1"/>
  <c r="K20" i="57"/>
  <c r="K21" i="57" s="1"/>
  <c r="J20" i="57"/>
  <c r="J21" i="57" s="1"/>
  <c r="I20" i="57"/>
  <c r="I21" i="57" s="1"/>
  <c r="H20" i="57"/>
  <c r="H21" i="57" s="1"/>
  <c r="G20" i="57"/>
  <c r="G21" i="57" s="1"/>
  <c r="F20" i="57"/>
  <c r="F21" i="57" s="1"/>
  <c r="E20" i="57"/>
  <c r="E21" i="57" s="1"/>
  <c r="E23" i="57" s="1"/>
  <c r="E40" i="57"/>
  <c r="F84" i="72"/>
  <c r="B77" i="72"/>
  <c r="M74" i="72"/>
  <c r="N74" i="72"/>
  <c r="L74" i="72"/>
  <c r="K74" i="72"/>
  <c r="J74" i="72"/>
  <c r="H74" i="72"/>
  <c r="G74" i="72"/>
  <c r="I74" i="72"/>
  <c r="F74" i="72"/>
  <c r="E74" i="72"/>
  <c r="O73" i="72"/>
  <c r="E83" i="72" s="1"/>
  <c r="O72" i="72"/>
  <c r="E82" i="72" s="1"/>
  <c r="O71" i="72"/>
  <c r="E81" i="72" s="1"/>
  <c r="O70" i="72"/>
  <c r="E80" i="72" s="1"/>
  <c r="O69" i="72"/>
  <c r="E79" i="72" s="1"/>
  <c r="O68" i="72"/>
  <c r="E78" i="72" s="1"/>
  <c r="F78" i="65"/>
  <c r="B71" i="65"/>
  <c r="M68" i="65"/>
  <c r="L68" i="65"/>
  <c r="K68" i="65"/>
  <c r="J68" i="65"/>
  <c r="I68" i="65"/>
  <c r="G68" i="65"/>
  <c r="F68" i="65"/>
  <c r="E68" i="65"/>
  <c r="N67" i="65"/>
  <c r="E77" i="65" s="1"/>
  <c r="N66" i="65"/>
  <c r="E76" i="65" s="1"/>
  <c r="N65" i="65"/>
  <c r="E75" i="65" s="1"/>
  <c r="H64" i="65"/>
  <c r="H68" i="65" s="1"/>
  <c r="N63" i="65"/>
  <c r="E73" i="65" s="1"/>
  <c r="N62" i="65"/>
  <c r="E72" i="65" s="1"/>
  <c r="P12" i="62"/>
  <c r="O12" i="62"/>
  <c r="N12" i="62"/>
  <c r="M12" i="62"/>
  <c r="L12" i="62"/>
  <c r="K12" i="62"/>
  <c r="J12" i="62"/>
  <c r="I12" i="62"/>
  <c r="H12" i="62"/>
  <c r="G12" i="62"/>
  <c r="G15" i="62" s="1"/>
  <c r="F12" i="62"/>
  <c r="E12" i="62"/>
  <c r="E15" i="62" s="1"/>
  <c r="O86" i="57"/>
  <c r="N86" i="57"/>
  <c r="M86" i="57"/>
  <c r="L86" i="57"/>
  <c r="K86" i="57"/>
  <c r="J86" i="57"/>
  <c r="I86" i="57"/>
  <c r="H86" i="57"/>
  <c r="G86" i="57"/>
  <c r="F86" i="57"/>
  <c r="O40" i="57"/>
  <c r="N40" i="57"/>
  <c r="M40" i="57"/>
  <c r="L40" i="57"/>
  <c r="K40" i="57"/>
  <c r="J40" i="57"/>
  <c r="I40" i="57"/>
  <c r="H40" i="57"/>
  <c r="G40" i="57"/>
  <c r="F40" i="57"/>
  <c r="P41" i="63"/>
  <c r="O41" i="63"/>
  <c r="N41" i="63"/>
  <c r="M41" i="63"/>
  <c r="L41" i="63"/>
  <c r="K41" i="63"/>
  <c r="J41" i="63"/>
  <c r="I41" i="63"/>
  <c r="H41" i="63"/>
  <c r="G41" i="63"/>
  <c r="P23" i="62"/>
  <c r="O23" i="62"/>
  <c r="N23" i="62"/>
  <c r="M23" i="62"/>
  <c r="L23" i="62"/>
  <c r="K23" i="62"/>
  <c r="J23" i="62"/>
  <c r="I23" i="62"/>
  <c r="H23" i="62"/>
  <c r="O71" i="57" l="1"/>
  <c r="O21" i="57"/>
  <c r="H14" i="76"/>
  <c r="F15" i="62"/>
  <c r="P20" i="57"/>
  <c r="P49" i="57" s="1"/>
  <c r="P71" i="57"/>
  <c r="P40" i="57"/>
  <c r="P93" i="57"/>
  <c r="E84" i="72"/>
  <c r="O74" i="72"/>
  <c r="N64" i="65"/>
  <c r="E74" i="65" s="1"/>
  <c r="E78" i="65" s="1"/>
  <c r="P21" i="57" l="1"/>
  <c r="P73" i="57"/>
  <c r="P96" i="57" s="1"/>
  <c r="P94" i="57"/>
  <c r="P75" i="57"/>
  <c r="P98" i="57" s="1"/>
  <c r="N68" i="65"/>
  <c r="F21" i="65"/>
  <c r="B15" i="65"/>
  <c r="L12" i="65"/>
  <c r="K12" i="65"/>
  <c r="J12" i="65"/>
  <c r="I12" i="65"/>
  <c r="H12" i="65"/>
  <c r="G12" i="65"/>
  <c r="F12" i="65"/>
  <c r="E12" i="65"/>
  <c r="M11" i="65"/>
  <c r="E20" i="65" s="1"/>
  <c r="M10" i="65"/>
  <c r="E19" i="65" s="1"/>
  <c r="M9" i="65"/>
  <c r="E18" i="65" s="1"/>
  <c r="M8" i="65"/>
  <c r="E17" i="65" s="1"/>
  <c r="M7" i="65"/>
  <c r="E16" i="65" s="1"/>
  <c r="F21" i="64"/>
  <c r="B15" i="64"/>
  <c r="M12" i="64"/>
  <c r="L12" i="64"/>
  <c r="K12" i="64"/>
  <c r="J12" i="64"/>
  <c r="I12" i="64"/>
  <c r="H12" i="64"/>
  <c r="G12" i="64"/>
  <c r="F12" i="64"/>
  <c r="E12" i="64"/>
  <c r="N11" i="64"/>
  <c r="E20" i="64" s="1"/>
  <c r="N10" i="64"/>
  <c r="E19" i="64" s="1"/>
  <c r="N9" i="64"/>
  <c r="E18" i="64" s="1"/>
  <c r="N8" i="64"/>
  <c r="E17" i="64" s="1"/>
  <c r="N7" i="64"/>
  <c r="E16" i="64" s="1"/>
  <c r="P50" i="57" l="1"/>
  <c r="P23" i="57"/>
  <c r="P25" i="57" s="1"/>
  <c r="P54" i="57" s="1"/>
  <c r="E21" i="65"/>
  <c r="M12" i="65"/>
  <c r="E21" i="64"/>
  <c r="N12" i="64"/>
  <c r="P52" i="57" l="1"/>
  <c r="N55" i="63"/>
  <c r="M55" i="63"/>
  <c r="L55" i="63"/>
  <c r="K55" i="63"/>
  <c r="J55" i="63"/>
  <c r="I55" i="63"/>
  <c r="H55" i="63"/>
  <c r="G55" i="63"/>
  <c r="P55" i="63"/>
  <c r="N51" i="63"/>
  <c r="M51" i="63"/>
  <c r="L51" i="63"/>
  <c r="K51" i="63"/>
  <c r="J51" i="63"/>
  <c r="I51" i="63"/>
  <c r="H51" i="63"/>
  <c r="G51" i="63"/>
  <c r="P51" i="63"/>
  <c r="N38" i="63"/>
  <c r="M38" i="63"/>
  <c r="L38" i="63"/>
  <c r="K38" i="63"/>
  <c r="J38" i="63"/>
  <c r="I38" i="63"/>
  <c r="H38" i="63"/>
  <c r="G38" i="63"/>
  <c r="N36" i="63"/>
  <c r="M36" i="63"/>
  <c r="L36" i="63"/>
  <c r="K36" i="63"/>
  <c r="J36" i="63"/>
  <c r="I36" i="63"/>
  <c r="H36" i="63"/>
  <c r="G36" i="63"/>
  <c r="N35" i="63"/>
  <c r="M35" i="63"/>
  <c r="L35" i="63"/>
  <c r="K35" i="63"/>
  <c r="J35" i="63"/>
  <c r="I35" i="63"/>
  <c r="H35" i="63"/>
  <c r="G35" i="63"/>
  <c r="N34" i="63"/>
  <c r="N37" i="63" s="1"/>
  <c r="M34" i="63"/>
  <c r="M37" i="63" s="1"/>
  <c r="L34" i="63"/>
  <c r="L37" i="63" s="1"/>
  <c r="K34" i="63"/>
  <c r="K37" i="63" s="1"/>
  <c r="J34" i="63"/>
  <c r="J37" i="63" s="1"/>
  <c r="I34" i="63"/>
  <c r="I37" i="63" s="1"/>
  <c r="H34" i="63"/>
  <c r="H37" i="63" s="1"/>
  <c r="G34" i="63"/>
  <c r="G37" i="63" s="1"/>
  <c r="N33" i="63"/>
  <c r="M33" i="63"/>
  <c r="L33" i="63"/>
  <c r="K33" i="63"/>
  <c r="J33" i="63"/>
  <c r="I33" i="63"/>
  <c r="H33" i="63"/>
  <c r="G33" i="63"/>
  <c r="N32" i="63"/>
  <c r="N39" i="63" s="1"/>
  <c r="M32" i="63"/>
  <c r="M39" i="63" s="1"/>
  <c r="L32" i="63"/>
  <c r="L39" i="63" s="1"/>
  <c r="K32" i="63"/>
  <c r="K39" i="63" s="1"/>
  <c r="J32" i="63"/>
  <c r="J39" i="63" s="1"/>
  <c r="I32" i="63"/>
  <c r="I39" i="63" s="1"/>
  <c r="H32" i="63"/>
  <c r="H39" i="63" s="1"/>
  <c r="G32" i="63"/>
  <c r="G39" i="63" s="1"/>
  <c r="P38" i="63"/>
  <c r="P36" i="63"/>
  <c r="P35" i="63"/>
  <c r="P34" i="63"/>
  <c r="P33" i="63"/>
  <c r="P32" i="63"/>
  <c r="N20" i="63"/>
  <c r="M20" i="63"/>
  <c r="L20" i="63"/>
  <c r="K20" i="63"/>
  <c r="J20" i="63"/>
  <c r="I20" i="63"/>
  <c r="H20" i="63"/>
  <c r="G20" i="63"/>
  <c r="F20" i="63"/>
  <c r="E20" i="63"/>
  <c r="P20" i="63"/>
  <c r="N16" i="63"/>
  <c r="M16" i="63"/>
  <c r="L16" i="63"/>
  <c r="K16" i="63"/>
  <c r="J16" i="63"/>
  <c r="I16" i="63"/>
  <c r="H16" i="63"/>
  <c r="G16" i="63"/>
  <c r="F16" i="63"/>
  <c r="E16" i="63"/>
  <c r="P16" i="63"/>
  <c r="O38" i="63"/>
  <c r="O55" i="63"/>
  <c r="O51" i="63"/>
  <c r="O36" i="63"/>
  <c r="O35" i="63"/>
  <c r="O34" i="63"/>
  <c r="O33" i="63"/>
  <c r="O32" i="63"/>
  <c r="O20" i="63"/>
  <c r="O16" i="63"/>
  <c r="N12" i="61"/>
  <c r="N17" i="61" s="1"/>
  <c r="M12" i="61"/>
  <c r="M17" i="61" s="1"/>
  <c r="L12" i="61"/>
  <c r="K12" i="61"/>
  <c r="J12" i="61"/>
  <c r="J17" i="61" s="1"/>
  <c r="I12" i="61"/>
  <c r="I17" i="61" s="1"/>
  <c r="H12" i="61"/>
  <c r="G12" i="61"/>
  <c r="F12" i="61"/>
  <c r="F17" i="61" s="1"/>
  <c r="E12" i="61"/>
  <c r="E17" i="61" s="1"/>
  <c r="P12" i="61"/>
  <c r="N23" i="61"/>
  <c r="N33" i="61" s="1"/>
  <c r="M23" i="61"/>
  <c r="M33" i="61" s="1"/>
  <c r="L23" i="61"/>
  <c r="K23" i="61"/>
  <c r="K33" i="61" s="1"/>
  <c r="J23" i="61"/>
  <c r="J33" i="61" s="1"/>
  <c r="I23" i="61"/>
  <c r="I33" i="61" s="1"/>
  <c r="H23" i="61"/>
  <c r="G23" i="61"/>
  <c r="G33" i="61" s="1"/>
  <c r="F23" i="61"/>
  <c r="F33" i="61" s="1"/>
  <c r="E23" i="61"/>
  <c r="E33" i="61" s="1"/>
  <c r="P23" i="61"/>
  <c r="O23" i="6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M18" i="62"/>
  <c r="M21" i="62" s="1"/>
  <c r="L18" i="62"/>
  <c r="L21" i="62" s="1"/>
  <c r="K18" i="62"/>
  <c r="K21" i="62" s="1"/>
  <c r="J18" i="62"/>
  <c r="I18" i="62"/>
  <c r="I21" i="62" s="1"/>
  <c r="H18" i="62"/>
  <c r="H21" i="62" s="1"/>
  <c r="G18" i="62"/>
  <c r="N15" i="62"/>
  <c r="M15" i="62"/>
  <c r="L15" i="62"/>
  <c r="K15" i="62"/>
  <c r="J15" i="62"/>
  <c r="I15" i="62"/>
  <c r="H15" i="62"/>
  <c r="O20" i="62"/>
  <c r="O19" i="62"/>
  <c r="O18" i="62"/>
  <c r="O29" i="62"/>
  <c r="O15" i="62"/>
  <c r="I35" i="61" l="1"/>
  <c r="O33" i="61"/>
  <c r="M35" i="61"/>
  <c r="K35" i="61"/>
  <c r="E35" i="61"/>
  <c r="J21" i="62"/>
  <c r="N21" i="62"/>
  <c r="G21" i="62"/>
  <c r="G35" i="61"/>
  <c r="P35" i="61"/>
  <c r="P17" i="61"/>
  <c r="O17" i="61"/>
  <c r="G17" i="61"/>
  <c r="L17" i="61"/>
  <c r="K17" i="61"/>
  <c r="P21" i="63"/>
  <c r="P25" i="63" s="1"/>
  <c r="P28" i="63" s="1"/>
  <c r="P21" i="62"/>
  <c r="H17" i="61"/>
  <c r="O21" i="62"/>
  <c r="O35" i="61"/>
  <c r="O56" i="63"/>
  <c r="P37" i="63"/>
  <c r="P39" i="63" s="1"/>
  <c r="O21" i="63"/>
  <c r="F35" i="61"/>
  <c r="H35" i="61"/>
  <c r="J35" i="61"/>
  <c r="L35" i="61"/>
  <c r="N35" i="61"/>
  <c r="O37" i="63"/>
  <c r="O39" i="63" s="1"/>
  <c r="M56" i="63"/>
  <c r="P56" i="63"/>
  <c r="P59" i="63" s="1"/>
  <c r="E21" i="63"/>
  <c r="E25" i="63" s="1"/>
  <c r="E28" i="63" s="1"/>
  <c r="F21" i="63"/>
  <c r="G56" i="63"/>
  <c r="G21" i="63"/>
  <c r="H56" i="63"/>
  <c r="H21" i="63"/>
  <c r="L56" i="63"/>
  <c r="L21" i="63"/>
  <c r="I56" i="63"/>
  <c r="I21" i="63"/>
  <c r="M21" i="63"/>
  <c r="J56" i="63"/>
  <c r="J21" i="63"/>
  <c r="N56" i="63"/>
  <c r="N21" i="63"/>
  <c r="K56" i="63"/>
  <c r="K21" i="63"/>
  <c r="O25" i="63" l="1"/>
  <c r="O59" i="63"/>
  <c r="N59" i="63"/>
  <c r="L25" i="63"/>
  <c r="G25" i="63"/>
  <c r="F25" i="63"/>
  <c r="K59" i="63"/>
  <c r="J59" i="63"/>
  <c r="I25" i="63"/>
  <c r="H25" i="63"/>
  <c r="K25" i="63"/>
  <c r="N25" i="63"/>
  <c r="J25" i="63"/>
  <c r="M25" i="63"/>
  <c r="I59" i="63"/>
  <c r="L59" i="63"/>
  <c r="H59" i="63"/>
  <c r="G59" i="63"/>
  <c r="M59" i="63"/>
  <c r="H33" i="61"/>
  <c r="P33" i="61"/>
  <c r="L33" i="61"/>
  <c r="O28" i="63" l="1"/>
  <c r="M28" i="63"/>
  <c r="J28" i="63"/>
  <c r="N28" i="63"/>
  <c r="K28" i="63"/>
  <c r="H28" i="63"/>
  <c r="I28" i="63"/>
  <c r="F28" i="63"/>
  <c r="G28" i="63"/>
  <c r="L28" i="63"/>
  <c r="C48" i="59"/>
  <c r="C37" i="59"/>
  <c r="L48" i="59" l="1"/>
  <c r="K48" i="59"/>
  <c r="J48" i="59"/>
  <c r="I48" i="59"/>
  <c r="H48" i="59"/>
  <c r="G48" i="59"/>
  <c r="F48" i="59"/>
  <c r="E48" i="59"/>
  <c r="D48" i="59"/>
  <c r="N48" i="59"/>
  <c r="C41" i="59"/>
  <c r="C50" i="59" s="1"/>
  <c r="L37" i="59"/>
  <c r="L41" i="59" s="1"/>
  <c r="K37" i="59"/>
  <c r="K41" i="59" s="1"/>
  <c r="J37" i="59"/>
  <c r="J41" i="59" s="1"/>
  <c r="I37" i="59"/>
  <c r="I41" i="59" s="1"/>
  <c r="H37" i="59"/>
  <c r="H41" i="59" s="1"/>
  <c r="G37" i="59"/>
  <c r="G41" i="59" s="1"/>
  <c r="F37" i="59"/>
  <c r="F41" i="59" s="1"/>
  <c r="E37" i="59"/>
  <c r="E41" i="59" s="1"/>
  <c r="D37" i="59"/>
  <c r="D41" i="59" s="1"/>
  <c r="N37" i="59"/>
  <c r="N41" i="59" s="1"/>
  <c r="L18" i="59"/>
  <c r="L29" i="59" s="1"/>
  <c r="K18" i="59"/>
  <c r="K29" i="59" s="1"/>
  <c r="J18" i="59"/>
  <c r="J29" i="59" s="1"/>
  <c r="I18" i="59"/>
  <c r="I29" i="59" s="1"/>
  <c r="H18" i="59"/>
  <c r="H29" i="59" s="1"/>
  <c r="E29" i="59"/>
  <c r="D29" i="59"/>
  <c r="C18" i="59"/>
  <c r="C29" i="59" s="1"/>
  <c r="N18" i="59"/>
  <c r="N29" i="59" s="1"/>
  <c r="M48" i="59"/>
  <c r="M37" i="59"/>
  <c r="M41" i="59" s="1"/>
  <c r="M18" i="59"/>
  <c r="M29" i="59" s="1"/>
  <c r="F50" i="59" l="1"/>
  <c r="J50" i="59"/>
  <c r="G50" i="59"/>
  <c r="K50" i="59"/>
  <c r="D50" i="59"/>
  <c r="N50" i="59"/>
  <c r="M50" i="59"/>
  <c r="E50" i="59"/>
  <c r="I50" i="59"/>
  <c r="H50" i="59"/>
  <c r="L50" i="59"/>
  <c r="P59" i="57" l="1"/>
  <c r="O59" i="57"/>
  <c r="N59" i="57"/>
  <c r="M59" i="57"/>
  <c r="L59" i="57"/>
  <c r="K59" i="57"/>
  <c r="J59" i="57"/>
  <c r="I59" i="57"/>
  <c r="H59" i="57"/>
  <c r="G59" i="57"/>
  <c r="F59" i="57"/>
  <c r="P58" i="57"/>
  <c r="O58" i="57"/>
  <c r="N58" i="57"/>
  <c r="M58" i="57"/>
  <c r="L58" i="57"/>
  <c r="K58" i="57"/>
  <c r="J58" i="57"/>
  <c r="I58" i="57"/>
  <c r="H58" i="57"/>
  <c r="G58" i="57"/>
  <c r="F58" i="57"/>
  <c r="O97" i="57" l="1"/>
  <c r="N97" i="57"/>
  <c r="M97" i="57"/>
  <c r="L97" i="57"/>
  <c r="K97" i="57"/>
  <c r="J97" i="57"/>
  <c r="I97" i="57"/>
  <c r="H97" i="57"/>
  <c r="G97" i="57"/>
  <c r="F97" i="57"/>
  <c r="E97" i="57"/>
  <c r="O95" i="57"/>
  <c r="N95" i="57"/>
  <c r="M95" i="57"/>
  <c r="L95" i="57"/>
  <c r="K95" i="57"/>
  <c r="J95" i="57"/>
  <c r="I95" i="57"/>
  <c r="H95" i="57"/>
  <c r="G95" i="57"/>
  <c r="F95" i="57"/>
  <c r="E95" i="57"/>
  <c r="O92" i="57"/>
  <c r="N92" i="57"/>
  <c r="M92" i="57"/>
  <c r="L92" i="57"/>
  <c r="K92" i="57"/>
  <c r="J92" i="57"/>
  <c r="I92" i="57"/>
  <c r="H92" i="57"/>
  <c r="G92" i="57"/>
  <c r="F92" i="57"/>
  <c r="E92" i="57"/>
  <c r="O91" i="57"/>
  <c r="N91" i="57"/>
  <c r="M91" i="57"/>
  <c r="L91" i="57"/>
  <c r="K91" i="57"/>
  <c r="J91" i="57"/>
  <c r="I91" i="57"/>
  <c r="H91" i="57"/>
  <c r="G91" i="57"/>
  <c r="F91" i="57"/>
  <c r="E91" i="57"/>
  <c r="P83" i="57"/>
  <c r="O83" i="57"/>
  <c r="N83" i="57"/>
  <c r="M83" i="57"/>
  <c r="L83" i="57"/>
  <c r="K83" i="57"/>
  <c r="J83" i="57"/>
  <c r="I83" i="57"/>
  <c r="H83" i="57"/>
  <c r="G83" i="57"/>
  <c r="F83" i="57"/>
  <c r="E83" i="57"/>
  <c r="P82" i="57"/>
  <c r="O82" i="57"/>
  <c r="N82" i="57"/>
  <c r="M82" i="57"/>
  <c r="L82" i="57"/>
  <c r="K82" i="57"/>
  <c r="J82" i="57"/>
  <c r="I82" i="57"/>
  <c r="H82" i="57"/>
  <c r="G82" i="57"/>
  <c r="F82" i="57"/>
  <c r="O53" i="57"/>
  <c r="N53" i="57"/>
  <c r="M53" i="57"/>
  <c r="L53" i="57"/>
  <c r="K53" i="57"/>
  <c r="J53" i="57"/>
  <c r="I53" i="57"/>
  <c r="H53" i="57"/>
  <c r="G53" i="57"/>
  <c r="F53" i="57"/>
  <c r="O51" i="57"/>
  <c r="N51" i="57"/>
  <c r="M51" i="57"/>
  <c r="L51" i="57"/>
  <c r="K51" i="57"/>
  <c r="J51" i="57"/>
  <c r="I51" i="57"/>
  <c r="H51" i="57"/>
  <c r="G51" i="57"/>
  <c r="F51" i="57"/>
  <c r="O48" i="57"/>
  <c r="N48" i="57"/>
  <c r="M48" i="57"/>
  <c r="L48" i="57"/>
  <c r="K48" i="57"/>
  <c r="J48" i="57"/>
  <c r="I48" i="57"/>
  <c r="H48" i="57"/>
  <c r="G48" i="57"/>
  <c r="F48" i="57"/>
  <c r="O47" i="57"/>
  <c r="N47" i="57"/>
  <c r="M47" i="57"/>
  <c r="L47" i="57"/>
  <c r="K47" i="57"/>
  <c r="J47" i="57"/>
  <c r="I47" i="57"/>
  <c r="H47" i="57"/>
  <c r="G47" i="57"/>
  <c r="F47" i="57"/>
  <c r="O46" i="57"/>
  <c r="N46" i="57"/>
  <c r="M46" i="57"/>
  <c r="L46" i="57"/>
  <c r="K46" i="57"/>
  <c r="J46" i="57"/>
  <c r="I46" i="57"/>
  <c r="H46" i="57"/>
  <c r="G46" i="57"/>
  <c r="F46" i="57"/>
  <c r="O45" i="57"/>
  <c r="N45" i="57"/>
  <c r="M45" i="57"/>
  <c r="L45" i="57"/>
  <c r="K45" i="57"/>
  <c r="J45" i="57"/>
  <c r="I45" i="57"/>
  <c r="H45" i="57"/>
  <c r="G45" i="57"/>
  <c r="F45" i="57"/>
  <c r="O44" i="57"/>
  <c r="N44" i="57"/>
  <c r="M44" i="57"/>
  <c r="L44" i="57"/>
  <c r="K44" i="57"/>
  <c r="J44" i="57"/>
  <c r="I44" i="57"/>
  <c r="H44" i="57"/>
  <c r="G44" i="57"/>
  <c r="F44" i="57"/>
  <c r="E53" i="57"/>
  <c r="E51" i="57"/>
  <c r="E48" i="57"/>
  <c r="E47" i="57"/>
  <c r="E46" i="57"/>
  <c r="E45" i="57"/>
  <c r="E44" i="57"/>
  <c r="P37" i="57"/>
  <c r="O37" i="57"/>
  <c r="N37" i="57"/>
  <c r="M37" i="57"/>
  <c r="L37" i="57"/>
  <c r="K37" i="57"/>
  <c r="J37" i="57"/>
  <c r="I37" i="57"/>
  <c r="H37" i="57"/>
  <c r="G37" i="57"/>
  <c r="F37" i="57"/>
  <c r="P36" i="57"/>
  <c r="O36" i="57"/>
  <c r="N36" i="57"/>
  <c r="M36" i="57"/>
  <c r="L36" i="57"/>
  <c r="K36" i="57"/>
  <c r="J36" i="57"/>
  <c r="I36" i="57"/>
  <c r="H36" i="57"/>
  <c r="G36" i="57"/>
  <c r="F36" i="57"/>
  <c r="E37" i="57"/>
  <c r="F93" i="57" l="1"/>
  <c r="H93" i="57"/>
  <c r="J93" i="57"/>
  <c r="L93" i="57"/>
  <c r="N93" i="57"/>
  <c r="E93" i="57"/>
  <c r="G93" i="57"/>
  <c r="I93" i="57"/>
  <c r="K93" i="57"/>
  <c r="M93" i="57"/>
  <c r="O93" i="57"/>
  <c r="F94" i="57"/>
  <c r="H94" i="57"/>
  <c r="J94" i="57"/>
  <c r="L94" i="57"/>
  <c r="N94" i="57"/>
  <c r="E94" i="57"/>
  <c r="G94" i="57"/>
  <c r="I94" i="57"/>
  <c r="K94" i="57"/>
  <c r="M94" i="57"/>
  <c r="O94" i="57"/>
  <c r="F49" i="57" l="1"/>
  <c r="F50" i="57"/>
  <c r="H49" i="57"/>
  <c r="J49" i="57"/>
  <c r="J50" i="57"/>
  <c r="L49" i="57"/>
  <c r="N49" i="57"/>
  <c r="N50" i="57"/>
  <c r="E49" i="57"/>
  <c r="G49" i="57"/>
  <c r="I49" i="57"/>
  <c r="I50" i="57"/>
  <c r="K49" i="57"/>
  <c r="K50" i="57"/>
  <c r="M49" i="57"/>
  <c r="O49" i="57"/>
  <c r="O50" i="57"/>
  <c r="F23" i="57"/>
  <c r="N23" i="57"/>
  <c r="I23" i="57"/>
  <c r="O23" i="57"/>
  <c r="M73" i="57"/>
  <c r="M96" i="57" s="1"/>
  <c r="I73" i="57"/>
  <c r="I96" i="57" s="1"/>
  <c r="E73" i="57"/>
  <c r="E96" i="57" s="1"/>
  <c r="N73" i="57"/>
  <c r="N96" i="57" s="1"/>
  <c r="J73" i="57"/>
  <c r="J96" i="57" s="1"/>
  <c r="F73" i="57"/>
  <c r="F96" i="57" s="1"/>
  <c r="O73" i="57"/>
  <c r="K73" i="57"/>
  <c r="K96" i="57" s="1"/>
  <c r="G73" i="57"/>
  <c r="G96" i="57" s="1"/>
  <c r="L73" i="57"/>
  <c r="L96" i="57" s="1"/>
  <c r="H73" i="57"/>
  <c r="H96" i="57" s="1"/>
  <c r="O96" i="57" l="1"/>
  <c r="K23" i="57"/>
  <c r="K25" i="57" s="1"/>
  <c r="J23" i="57"/>
  <c r="J25" i="57" s="1"/>
  <c r="E50" i="57"/>
  <c r="O25" i="57"/>
  <c r="O52" i="57"/>
  <c r="I25" i="57"/>
  <c r="I52" i="57"/>
  <c r="N25" i="57"/>
  <c r="N52" i="57"/>
  <c r="F25" i="57"/>
  <c r="F52" i="57"/>
  <c r="M23" i="57"/>
  <c r="M50" i="57"/>
  <c r="H23" i="57"/>
  <c r="H50" i="57"/>
  <c r="L23" i="57"/>
  <c r="L50" i="57"/>
  <c r="G23" i="57"/>
  <c r="G50" i="57"/>
  <c r="H75" i="57"/>
  <c r="H98" i="57" s="1"/>
  <c r="L75" i="57"/>
  <c r="L98" i="57" s="1"/>
  <c r="G75" i="57"/>
  <c r="G98" i="57" s="1"/>
  <c r="K75" i="57"/>
  <c r="K98" i="57" s="1"/>
  <c r="O75" i="57"/>
  <c r="F75" i="57"/>
  <c r="F98" i="57" s="1"/>
  <c r="J75" i="57"/>
  <c r="J98" i="57" s="1"/>
  <c r="N75" i="57"/>
  <c r="N98" i="57" s="1"/>
  <c r="E75" i="57"/>
  <c r="E98" i="57" s="1"/>
  <c r="I75" i="57"/>
  <c r="I98" i="57" s="1"/>
  <c r="M75" i="57"/>
  <c r="M98" i="57" s="1"/>
  <c r="O98" i="57" l="1"/>
  <c r="J52" i="57"/>
  <c r="K52" i="57"/>
  <c r="F54" i="57"/>
  <c r="J54" i="57"/>
  <c r="N54" i="57"/>
  <c r="I54" i="57"/>
  <c r="K54" i="57"/>
  <c r="O54" i="57"/>
  <c r="L25" i="57"/>
  <c r="L52" i="57"/>
  <c r="H25" i="57"/>
  <c r="H52" i="57"/>
  <c r="E25" i="57"/>
  <c r="E52" i="57"/>
  <c r="G25" i="57"/>
  <c r="G52" i="57"/>
  <c r="M25" i="57"/>
  <c r="M52" i="57"/>
  <c r="G54" i="57" l="1"/>
  <c r="H54" i="57"/>
  <c r="M54" i="57"/>
  <c r="E54" i="57"/>
  <c r="L54" i="57"/>
</calcChain>
</file>

<file path=xl/sharedStrings.xml><?xml version="1.0" encoding="utf-8"?>
<sst xmlns="http://schemas.openxmlformats.org/spreadsheetml/2006/main" count="1263" uniqueCount="301">
  <si>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</si>
  <si>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</si>
  <si>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</si>
  <si>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</si>
  <si>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</si>
  <si>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</si>
  <si>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</si>
  <si>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</si>
  <si>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</si>
  <si>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</si>
  <si>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</si>
  <si>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</si>
  <si>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</si>
  <si>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</si>
  <si>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</si>
  <si>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</si>
  <si>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</si>
  <si>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</si>
  <si>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</si>
  <si>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</si>
  <si>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</si>
  <si>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</si>
  <si>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</si>
  <si>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</si>
  <si>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</si>
  <si>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</si>
  <si>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</si>
  <si>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</si>
  <si>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</si>
  <si>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</si>
  <si>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</si>
  <si>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</si>
  <si>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</si>
  <si>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</si>
  <si>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</si>
  <si>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</si>
  <si>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</si>
  <si>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</si>
  <si>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</si>
  <si>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</si>
  <si>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</si>
  <si>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</si>
  <si>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</si>
  <si>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</si>
  <si>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</si>
  <si>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</si>
  <si>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</si>
  <si>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</si>
  <si>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</si>
  <si>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</si>
  <si>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</si>
  <si>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</si>
  <si>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Income (loss) before income tax expense</t>
  </si>
  <si>
    <t>Income tax (benefit) expense</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</si>
  <si>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</si>
  <si>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</si>
  <si>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</si>
  <si>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</si>
  <si>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</si>
  <si>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</si>
  <si>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</si>
  <si>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</si>
  <si>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</si>
  <si>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</si>
  <si>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</si>
  <si>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</si>
  <si>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</si>
  <si>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</si>
  <si>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</si>
  <si>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</si>
  <si>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</si>
  <si>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</si>
  <si>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</si>
  <si>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</si>
  <si>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</si>
  <si>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In this model, Activision Blizzard has provided a reconciliation of the most comparable GAAP financial measure to the historical non-GAAP measures.  Please refer to the reconciliation tables that follow.  </t>
  </si>
  <si>
    <t>ACTIVISION BLIZZARD, INC. AND SUBSIDIARIES</t>
  </si>
  <si>
    <t>SEGMENT INFORMATION</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</si>
  <si>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</si>
  <si>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</si>
  <si>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</si>
  <si>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</si>
  <si>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</si>
  <si>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</si>
  <si>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</si>
  <si>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</si>
  <si>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</si>
  <si>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</si>
  <si>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</si>
  <si>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</si>
  <si>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</si>
  <si>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FINANCIAL INFORMATION</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</si>
  <si>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</si>
  <si>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</si>
  <si>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</si>
  <si>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</si>
  <si>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</si>
  <si>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</si>
  <si>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</si>
  <si>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</si>
  <si>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</si>
  <si>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</si>
  <si>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PC and other</t>
  </si>
  <si>
    <t>Sony PlayStation  3</t>
  </si>
  <si>
    <t>Sony PlayStation  2</t>
  </si>
  <si>
    <t>Microsoft Xbox 360</t>
  </si>
  <si>
    <t>Nintendo Wii</t>
  </si>
  <si>
    <t>Sony PlayStation Portable</t>
  </si>
  <si>
    <t>Nintendo Dual Screen</t>
  </si>
  <si>
    <t>Total handheld</t>
  </si>
  <si>
    <t>Total Activision and Blizzard</t>
  </si>
  <si>
    <t>Distribution:</t>
  </si>
  <si>
    <t>Total Distribution</t>
  </si>
  <si>
    <t>Total changes in deferred net revenues</t>
  </si>
  <si>
    <t>Non-GAAP Net Revenues by Segment/Platform Mix</t>
  </si>
  <si>
    <t xml:space="preserve">Total Activision and Blizzard </t>
  </si>
  <si>
    <t>Online subscriptions*</t>
  </si>
  <si>
    <t>RECONCILIATION OF GAAP NET INCOME TO NON-GAAP MEASURES</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</si>
  <si>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</si>
  <si>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</si>
  <si>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</si>
  <si>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</si>
  <si>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</si>
  <si>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</si>
  <si>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</si>
  <si>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</si>
  <si>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</si>
  <si>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</si>
  <si>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</si>
  <si>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</si>
  <si>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</si>
  <si>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</si>
  <si>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</si>
  <si>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</si>
  <si>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</si>
  <si>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</si>
  <si>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</si>
  <si>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</si>
  <si>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</si>
  <si>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</si>
  <si>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</si>
  <si>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</si>
  <si>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</si>
  <si>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</si>
  <si>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</si>
  <si>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</si>
  <si>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</si>
  <si>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</si>
  <si>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</si>
  <si>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</si>
  <si>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</si>
  <si>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</si>
  <si>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</si>
  <si>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</si>
  <si>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</si>
  <si>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</si>
  <si>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</si>
  <si>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</si>
  <si>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</si>
  <si>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</si>
  <si>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</si>
  <si>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</si>
  <si>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</si>
  <si>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Other</t>
  </si>
  <si>
    <t>(Amounts in millions, except earnings (loss) per share data)</t>
  </si>
  <si>
    <t>Three Months ended December 31, 2008</t>
  </si>
  <si>
    <t>The per share adjustments are presented as calculated, and the GAAP and non-GAAP earnings (loss) per share information is also presented as calculated. The sum of these measures, as presented, may differ due to the impact of rounding.</t>
  </si>
  <si>
    <t>RECONCILIATION OF GAAP NET INCOME TO NON-GAAP NET INCOME</t>
  </si>
  <si>
    <t>Less:  One time costs related to the Business Combination, integration and restructuring</t>
  </si>
  <si>
    <t>Three Months ended September 30, 2008</t>
  </si>
  <si>
    <t>(c) Reflects the results of products and operations from the historical Vivendi Games businesses that the Company has exited, divested or wound down.</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</si>
  <si>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</si>
  <si>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</si>
  <si>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</si>
  <si>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</si>
  <si>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</si>
  <si>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</si>
  <si>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</si>
  <si>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</si>
  <si>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</si>
  <si>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</si>
  <si>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</si>
  <si>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</si>
  <si>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</si>
  <si>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</si>
  <si>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</si>
  <si>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</si>
  <si>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</si>
  <si>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</si>
  <si>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</si>
  <si>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</si>
  <si>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t>
  </si>
  <si>
    <t>Proceeds from sale of available-for-sale investments</t>
  </si>
  <si>
    <t>Payment of contingent consideration</t>
  </si>
  <si>
    <t>Purchases of available-for-sale investments</t>
  </si>
  <si>
    <t>Decrease in restricted cash</t>
  </si>
  <si>
    <t>Net cash provided by (used in) investing activities</t>
  </si>
  <si>
    <t>Cash flows from financing activities:</t>
  </si>
  <si>
    <t>Proceeds from issuance of common stock to employees</t>
  </si>
  <si>
    <t>Repurchase of common stock</t>
  </si>
  <si>
    <t>Dividends paid</t>
  </si>
  <si>
    <t>Net cash provided by (used in) financing activities</t>
  </si>
  <si>
    <t>Effect of foreign exchange rate changes on cash and cash equivalents</t>
  </si>
  <si>
    <t>Net increase (decrease) in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</si>
  <si>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</si>
  <si>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</si>
  <si>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</si>
  <si>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</si>
  <si>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</si>
  <si>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</si>
  <si>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</si>
  <si>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</si>
  <si>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</si>
  <si>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</si>
  <si>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</si>
  <si>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</si>
  <si>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Activision Blizzard’s non-core exit operations </t>
    </r>
    <r>
      <rPr>
        <b/>
        <vertAlign val="superscript"/>
        <sz val="9"/>
        <color theme="1"/>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</si>
  <si>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</si>
  <si>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</si>
  <si>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</si>
  <si>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</si>
  <si>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</si>
  <si>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</si>
  <si>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</si>
  <si>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</si>
  <si>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</si>
  <si>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</si>
  <si>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</si>
  <si>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</si>
  <si>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</si>
  <si>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</si>
  <si>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</si>
  <si>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</si>
  <si>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</si>
  <si>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</si>
  <si>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</si>
  <si>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SUPPLEMENTAL FINANCIAL INFORMATION</t>
  </si>
  <si>
    <t>Cash Flow Data</t>
  </si>
  <si>
    <t>Operating Cash Flow</t>
  </si>
  <si>
    <t>Capital Expenditures</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</si>
  <si>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</si>
  <si>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</si>
  <si>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</si>
  <si>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</si>
  <si>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</si>
  <si>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CONDENSED CONSOLIDATED STATEMENTS OF CASH FLOWS</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</si>
  <si>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</si>
  <si>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</si>
  <si>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</si>
  <si>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</si>
  <si>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</si>
  <si>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</si>
  <si>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</si>
  <si>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r>
      <rPr>
        <vertAlign val="superscript"/>
        <sz val="10"/>
        <color theme="1"/>
        <rFont val="Arial"/>
        <family val="2"/>
      </rPr>
      <t>(i)</t>
    </r>
    <r>
      <rPr>
        <sz val="10"/>
        <color theme="1"/>
        <rFont val="Arial"/>
        <family val="2"/>
      </rPr>
      <t xml:space="preserve"> Results of Activision Blizzard for the period from July 9, 2008 (commencement of the Business Combination) to September 30, 2008 and Vivendi Games for period from</t>
    </r>
  </si>
  <si>
    <t xml:space="preserve">    from July 1, 2008 to July 8, 2008.</t>
  </si>
  <si>
    <t xml:space="preserve">    July 1, 2008 to July 8, 2008.</t>
  </si>
  <si>
    <r>
      <rPr>
        <vertAlign val="superscript"/>
        <sz val="9"/>
        <rFont val="Arial"/>
        <family val="2"/>
      </rPr>
      <t>(v)</t>
    </r>
    <r>
      <rPr>
        <sz val="9"/>
        <rFont val="Arial"/>
        <family val="2"/>
      </rPr>
      <t xml:space="preserve"> Results of Activision Blizzard for the period from July 9, 2008 (commencement of the Business Combination) to September 30, 2008 and Vivendi Games for period from July 1, 2008 to July 8, 2008.</t>
    </r>
  </si>
  <si>
    <r>
      <rPr>
        <vertAlign val="superscript"/>
        <sz val="9"/>
        <rFont val="Arial"/>
        <family val="2"/>
      </rPr>
      <t>(i)</t>
    </r>
    <r>
      <rPr>
        <sz val="9"/>
        <rFont val="Arial"/>
        <family val="2"/>
      </rPr>
      <t xml:space="preserve"> Activision Publishing (“Activision”) —  publishes interactive entertainment software and peripherals.</t>
    </r>
  </si>
  <si>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</si>
  <si>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</si>
  <si>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our restructuring and integration efforts as a result of the Business Combination. Prior to July 1, 2009, Non-Core activities were managed as a stand alone operating segment; however, in light of the minimal activities and insignificance of Non-Core activities, as of that date we ceased their management as a separate operating segment and consequently, we are no longer providing separate operating segment disclosure.</t>
    </r>
  </si>
  <si>
    <t>Three Months Ended September 30, 2011</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</si>
  <si>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t>
    </r>
  </si>
  <si>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</si>
  <si>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</si>
  <si>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 xml:space="preserve">For the twelve months ended December 31, </t>
  </si>
  <si>
    <t>Non-GAAP Free Cash Flow</t>
  </si>
  <si>
    <t>Non-GAAP free cash flow represents operating cash flow minus capital expenditures.</t>
  </si>
  <si>
    <t>Activision Blizzard provides net revenues, net income (loss), earnings (loss) per share and operating margin data and guidance both including (in accordance with GAAP) and excluding (non-GAAP) certain items. The non-GAAP financial measures exclude the following items, as applicable in any given reporting period:</t>
  </si>
  <si>
    <t xml:space="preserve">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as well as in planning and forecasting.
Activision Blizzard’s non-GAAP financial measures are not based on a comprehensive set of accounting rules or principles, and the terms non-GAAP net revenues, non-GAAP net income, non-GAAP earnings per share, and non-GAAP operating margin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in this release,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
</t>
  </si>
  <si>
    <t>••• the change in deferred net revenue and related cost of sales with respect to certain of the company’s online-enabled games;</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</si>
  <si>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</si>
  <si>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</si>
  <si>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Impairment of goodwill/intangible assets</t>
  </si>
  <si>
    <t>Nintendo 3DS</t>
  </si>
  <si>
    <t>Three Months Ended December 31, 2011</t>
  </si>
  <si>
    <t>Less:  Impairment of goodwill</t>
  </si>
  <si>
    <t>(d) Reflects impairment of goodwill.</t>
  </si>
  <si>
    <t>`</t>
  </si>
  <si>
    <t>Investment and other income (expense), net</t>
  </si>
  <si>
    <t>Reconciliation to consolidated operating income (loss):</t>
  </si>
  <si>
    <t>•• the amortization of intangibles, impairment of goodwill and intangible assets, and adjustments resulting from purchase price accounting; and</t>
  </si>
  <si>
    <t>Proceeds from maturities of available-for-sale investments</t>
  </si>
  <si>
    <t>Net income</t>
  </si>
  <si>
    <t>Cost of sales - online subscriptions</t>
  </si>
  <si>
    <t>Cost of Sales - Online Subscriptions</t>
  </si>
  <si>
    <t>* Net revenues from digital online channel represent revenues from subscriptions and memberships, licensing royalties, value-added services, downloadable content, digitally distributed products, and wireless</t>
  </si>
  <si>
    <t xml:space="preserve">  devices.</t>
  </si>
  <si>
    <r>
      <t xml:space="preserve">* Revenue from online subscriptions consists of revenue from all </t>
    </r>
    <r>
      <rPr>
        <i/>
        <sz val="9"/>
        <rFont val="Arial"/>
        <family val="2"/>
      </rPr>
      <t>World of Warcraft</t>
    </r>
    <r>
      <rPr>
        <sz val="9"/>
        <rFont val="Arial"/>
        <family val="2"/>
      </rPr>
      <t xml:space="preserve"> products, including subscriptions, boxed products, expansion packs, licensing royalties, and value-added services. </t>
    </r>
  </si>
  <si>
    <r>
      <t xml:space="preserve">   It also includes revenues from </t>
    </r>
    <r>
      <rPr>
        <i/>
        <sz val="9"/>
        <rFont val="Arial"/>
        <family val="2"/>
      </rPr>
      <t>Call of Duty Elite</t>
    </r>
    <r>
      <rPr>
        <sz val="9"/>
        <rFont val="Arial"/>
        <family val="2"/>
      </rPr>
      <t xml:space="preserve"> memberships.</t>
    </r>
  </si>
  <si>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</si>
  <si>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</si>
  <si>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</si>
  <si>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</si>
  <si>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xml:space="preserve">In order to supplement our financial measures that are presented in accordance with GAAP, Activision Blizzard presents certain non-GAAP measures of financial performance. The presentation of these non-GAAP financial measures is not intended to be considered in isolation from, as a substitute for, or superior to, the financial information prepared and presented in accordance with GAAP.  In addition, these non-GAAP measures have limitations in that they do not reflect all of the items associated with the company’s results of operations as determined in accordance with GAAP.  </t>
  </si>
  <si>
    <t>•• expenses related to restructuring;</t>
  </si>
  <si>
    <t>CY12</t>
  </si>
  <si>
    <t>Three Months Ended March 31, 2012</t>
  </si>
  <si>
    <t>(c) Reflects amortization of intangible assets.</t>
  </si>
  <si>
    <t>Inventories, net</t>
  </si>
  <si>
    <t>Accounts receivable, net</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</si>
</sst>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90">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sz val="10"/>
      <color theme="1"/>
      <name val="Arial"/>
      <family val="2"/>
    </font>
    <font>
      <vertAlign val="superscript"/>
      <sz val="10"/>
      <color theme="1"/>
      <name val="Arial"/>
      <family val="2"/>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i/>
      <sz val="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5">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cellStyleXfs>
  <cellXfs count="614">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41" fontId="5" fillId="75" borderId="0" xfId="1" applyNumberFormat="1" applyFont="1" applyFill="1" applyBorder="1" applyAlignment="1"/>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1" fontId="1" fillId="75" borderId="0" xfId="1" applyNumberFormat="1" applyFont="1" applyFill="1" applyBorder="1" applyAlignment="1"/>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0" fontId="1" fillId="75" borderId="0" xfId="4310" applyFont="1" applyFill="1" applyBorder="1"/>
    <xf numFmtId="164" fontId="1" fillId="75" borderId="0" xfId="8" applyNumberFormat="1" applyFont="1" applyFill="1" applyBorder="1" applyAlignment="1">
      <alignment horizontal="right"/>
    </xf>
    <xf numFmtId="0" fontId="1" fillId="75" borderId="0" xfId="8" applyFont="1" applyFill="1" applyAlignment="1"/>
    <xf numFmtId="164" fontId="1" fillId="75" borderId="0" xfId="8" applyNumberFormat="1" applyFont="1" applyFill="1" applyBorder="1" applyAlignment="1"/>
    <xf numFmtId="164" fontId="1" fillId="75" borderId="0" xfId="4310" applyNumberFormat="1"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9" fontId="1" fillId="75" borderId="0" xfId="5" applyNumberFormat="1" applyFont="1" applyFill="1" applyBorder="1" applyAlignment="1"/>
    <xf numFmtId="42" fontId="1" fillId="75" borderId="0" xfId="6" applyNumberFormat="1" applyFont="1" applyFill="1" applyBorder="1" applyAlignment="1">
      <alignment horizontal="center"/>
    </xf>
    <xf numFmtId="165" fontId="1" fillId="75" borderId="0" xfId="6" applyNumberFormat="1" applyFont="1" applyFill="1" applyBorder="1" applyAlignment="1"/>
    <xf numFmtId="165" fontId="1" fillId="75" borderId="1" xfId="6" applyNumberFormat="1" applyFont="1" applyFill="1" applyBorder="1" applyAlignment="1">
      <alignment horizontal="center"/>
    </xf>
    <xf numFmtId="165" fontId="1" fillId="75" borderId="1" xfId="6" applyNumberFormat="1" applyFont="1" applyFill="1" applyBorder="1" applyAlignment="1"/>
    <xf numFmtId="165" fontId="1" fillId="75" borderId="6" xfId="6" applyNumberFormat="1" applyFont="1" applyFill="1" applyBorder="1" applyAlignment="1">
      <alignment horizontal="center"/>
    </xf>
    <xf numFmtId="41" fontId="1" fillId="75" borderId="0" xfId="6" applyNumberFormat="1" applyFont="1" applyFill="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41" fontId="1" fillId="75" borderId="0" xfId="7" applyNumberFormat="1" applyFont="1" applyFill="1" applyBorder="1" applyAlignment="1">
      <alignment horizontal="right"/>
    </xf>
    <xf numFmtId="1" fontId="1" fillId="75" borderId="0" xfId="7" applyNumberFormat="1" applyFont="1" applyFill="1" applyBorder="1" applyAlignment="1"/>
    <xf numFmtId="1" fontId="1" fillId="75" borderId="1" xfId="7" applyNumberFormat="1" applyFont="1" applyFill="1" applyBorder="1" applyAlignment="1"/>
    <xf numFmtId="9" fontId="1" fillId="75" borderId="0" xfId="7" applyFont="1" applyFill="1" applyBorder="1" applyAlignment="1">
      <alignment horizontal="center"/>
    </xf>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41" fontId="1" fillId="75" borderId="1" xfId="7" applyNumberFormat="1"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0" fontId="280" fillId="2" borderId="0" xfId="0"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5" fontId="1" fillId="0" borderId="1" xfId="6" applyNumberFormat="1" applyFont="1" applyFill="1" applyBorder="1" applyAlignment="1"/>
    <xf numFmtId="165" fontId="1" fillId="0" borderId="1" xfId="6" applyNumberFormat="1" applyFont="1" applyFill="1" applyBorder="1" applyAlignment="1">
      <alignment horizontal="center"/>
    </xf>
    <xf numFmtId="165" fontId="1" fillId="0" borderId="6" xfId="6" applyNumberFormat="1" applyFont="1" applyFill="1" applyBorder="1" applyAlignment="1">
      <alignment horizontal="center"/>
    </xf>
    <xf numFmtId="9" fontId="1" fillId="0" borderId="0" xfId="7" applyFont="1" applyFill="1" applyBorder="1" applyAlignment="1">
      <alignment horizontal="right"/>
    </xf>
    <xf numFmtId="165" fontId="1" fillId="0" borderId="3" xfId="6" applyNumberFormat="1" applyFont="1" applyFill="1" applyBorder="1" applyAlignment="1">
      <alignment horizontal="center"/>
    </xf>
    <xf numFmtId="41" fontId="1" fillId="0" borderId="0" xfId="7" applyNumberFormat="1" applyFont="1" applyFill="1" applyBorder="1" applyAlignment="1">
      <alignment horizontal="center"/>
    </xf>
    <xf numFmtId="41" fontId="1" fillId="0" borderId="0" xfId="6" applyNumberFormat="1" applyFont="1" applyFill="1" applyAlignment="1">
      <alignment horizontal="center"/>
    </xf>
    <xf numFmtId="41" fontId="1" fillId="0" borderId="0" xfId="5" applyNumberFormat="1" applyFont="1" applyFill="1" applyBorder="1"/>
    <xf numFmtId="41" fontId="1" fillId="0" borderId="0" xfId="5" applyNumberFormat="1" applyFont="1" applyFill="1" applyBorder="1" applyAlignment="1"/>
    <xf numFmtId="41" fontId="1" fillId="0" borderId="0" xfId="6" applyNumberFormat="1" applyFont="1" applyFill="1" applyBorder="1" applyAlignment="1">
      <alignment horizontal="center"/>
    </xf>
    <xf numFmtId="41" fontId="1" fillId="0" borderId="6" xfId="6" applyNumberFormat="1" applyFont="1" applyFill="1" applyBorder="1" applyAlignment="1">
      <alignment horizontal="center"/>
    </xf>
    <xf numFmtId="41" fontId="1" fillId="0" borderId="1" xfId="6" applyNumberFormat="1" applyFont="1" applyFill="1" applyBorder="1" applyAlignment="1">
      <alignment horizontal="center"/>
    </xf>
    <xf numFmtId="41" fontId="1" fillId="0" borderId="0" xfId="7" applyNumberFormat="1" applyFont="1" applyFill="1" applyBorder="1" applyAlignment="1">
      <alignment horizontal="right"/>
    </xf>
    <xf numFmtId="41" fontId="1" fillId="0" borderId="1" xfId="7" applyNumberFormat="1" applyFont="1" applyFill="1" applyBorder="1" applyAlignment="1">
      <alignment horizontal="right"/>
    </xf>
    <xf numFmtId="1" fontId="1" fillId="0" borderId="0" xfId="7" applyNumberFormat="1" applyFont="1" applyFill="1" applyBorder="1" applyAlignment="1"/>
    <xf numFmtId="1" fontId="1" fillId="0" borderId="1" xfId="7" applyNumberFormat="1" applyFont="1" applyFill="1" applyBorder="1" applyAlignment="1"/>
    <xf numFmtId="165" fontId="1" fillId="0" borderId="0" xfId="6" applyNumberFormat="1" applyFont="1" applyFill="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2"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3" fillId="75" borderId="0" xfId="5" applyFont="1" applyFill="1" applyAlignment="1">
      <alignment horizontal="center"/>
    </xf>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4" fillId="75" borderId="0" xfId="1" applyNumberFormat="1" applyFont="1" applyFill="1" applyBorder="1" applyAlignment="1">
      <alignment horizontal="right" wrapText="1"/>
    </xf>
    <xf numFmtId="165" fontId="284"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5"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0" xfId="0" applyFont="1" applyFill="1" applyBorder="1" applyAlignment="1">
      <alignment horizontal="center"/>
    </xf>
    <xf numFmtId="0" fontId="266" fillId="75" borderId="2" xfId="0" applyFont="1" applyFill="1" applyBorder="1" applyAlignment="1">
      <alignment horizontal="center"/>
    </xf>
    <xf numFmtId="0" fontId="286"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7"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0" fontId="16" fillId="0" borderId="0" xfId="0" applyFont="1" applyFill="1" applyAlignment="1">
      <alignment horizontal="left" vertical="top" wrapText="1" readingOrder="1"/>
    </xf>
    <xf numFmtId="0" fontId="286"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3" fillId="75" borderId="0" xfId="5" applyFont="1" applyFill="1" applyAlignment="1">
      <alignment horizontal="center"/>
    </xf>
    <xf numFmtId="0" fontId="1"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3" fillId="0" borderId="0" xfId="0" applyFont="1" applyFill="1" applyAlignment="1">
      <alignment horizontal="center"/>
    </xf>
    <xf numFmtId="0" fontId="266" fillId="75" borderId="0" xfId="0" applyFont="1" applyFill="1" applyBorder="1" applyAlignment="1">
      <alignment horizontal="center"/>
    </xf>
    <xf numFmtId="0" fontId="266" fillId="75" borderId="0" xfId="0" applyNumberFormat="1" applyFont="1" applyFill="1" applyAlignment="1">
      <alignment horizontal="center"/>
    </xf>
    <xf numFmtId="0" fontId="266" fillId="75" borderId="98" xfId="0" applyNumberFormat="1" applyFont="1" applyFill="1" applyBorder="1" applyAlignment="1">
      <alignment horizontal="center" vertical="center"/>
    </xf>
    <xf numFmtId="0" fontId="1" fillId="75" borderId="0" xfId="11" applyFont="1" applyFill="1" applyAlignment="1">
      <alignment horizontal="left" vertical="top" wrapText="1"/>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10" applyFont="1" applyFill="1" applyAlignment="1">
      <alignment horizontal="left" wrapText="1"/>
    </xf>
  </cellXfs>
  <cellStyles count="4355">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0"/>
  <sheetViews>
    <sheetView showGridLines="0" tabSelected="1" view="pageBreakPreview" zoomScale="60" zoomScaleNormal="90" workbookViewId="0">
      <selection activeCell="J17" sqref="J17"/>
    </sheetView>
  </sheetViews>
  <sheetFormatPr defaultRowHeight="15"/>
  <cols>
    <col min="1" max="16384" width="9.140625" style="413"/>
  </cols>
  <sheetData>
    <row r="3" spans="1:18" ht="48.75">
      <c r="A3" s="559" t="s">
        <v>36</v>
      </c>
      <c r="N3" s="560"/>
    </row>
    <row r="4" spans="1:18" ht="12" customHeight="1">
      <c r="A4" s="559"/>
      <c r="N4" s="560"/>
    </row>
    <row r="5" spans="1:18" ht="15.75" thickBot="1">
      <c r="A5" s="561"/>
      <c r="B5" s="561"/>
      <c r="C5" s="561"/>
      <c r="D5" s="561"/>
      <c r="E5" s="561"/>
      <c r="F5" s="561"/>
      <c r="G5" s="561"/>
      <c r="H5" s="561"/>
      <c r="I5" s="561"/>
      <c r="J5" s="561"/>
      <c r="K5" s="561"/>
      <c r="L5" s="561"/>
      <c r="M5" s="561"/>
      <c r="N5" s="561"/>
      <c r="O5" s="561"/>
      <c r="P5" s="561"/>
      <c r="Q5" s="561"/>
      <c r="R5" s="561"/>
    </row>
    <row r="6" spans="1:18" ht="6" customHeight="1">
      <c r="A6" s="567"/>
      <c r="B6" s="566"/>
      <c r="C6" s="566"/>
      <c r="D6" s="566"/>
      <c r="E6" s="566"/>
      <c r="F6" s="566"/>
      <c r="G6" s="566"/>
      <c r="H6" s="566"/>
      <c r="I6" s="566"/>
      <c r="J6" s="566"/>
      <c r="K6" s="566"/>
      <c r="L6" s="566"/>
      <c r="M6" s="566"/>
      <c r="N6" s="566"/>
      <c r="O6" s="566"/>
    </row>
    <row r="7" spans="1:18" ht="55.5" customHeight="1">
      <c r="A7" s="584" t="s">
        <v>294</v>
      </c>
      <c r="B7" s="586"/>
      <c r="C7" s="586"/>
      <c r="D7" s="586"/>
      <c r="E7" s="586"/>
      <c r="F7" s="586"/>
      <c r="G7" s="586"/>
      <c r="H7" s="586"/>
      <c r="I7" s="586"/>
      <c r="J7" s="586"/>
      <c r="K7" s="586"/>
      <c r="L7" s="586"/>
      <c r="M7" s="586"/>
      <c r="N7" s="586"/>
      <c r="O7" s="586"/>
      <c r="P7" s="586"/>
      <c r="Q7" s="586"/>
      <c r="R7" s="586"/>
    </row>
    <row r="8" spans="1:18" ht="6" customHeight="1">
      <c r="A8" s="567"/>
      <c r="B8" s="566"/>
      <c r="C8" s="566"/>
      <c r="D8" s="566"/>
      <c r="E8" s="566"/>
      <c r="F8" s="566"/>
      <c r="G8" s="566"/>
      <c r="H8" s="566"/>
      <c r="I8" s="566"/>
      <c r="J8" s="566"/>
      <c r="K8" s="566"/>
      <c r="L8" s="566"/>
      <c r="M8" s="566"/>
      <c r="N8" s="566"/>
      <c r="O8" s="566"/>
    </row>
    <row r="9" spans="1:18" ht="28.5" customHeight="1">
      <c r="A9" s="584" t="s">
        <v>268</v>
      </c>
      <c r="B9" s="586"/>
      <c r="C9" s="586"/>
      <c r="D9" s="586"/>
      <c r="E9" s="586"/>
      <c r="F9" s="586"/>
      <c r="G9" s="586"/>
      <c r="H9" s="586"/>
      <c r="I9" s="586"/>
      <c r="J9" s="586"/>
      <c r="K9" s="586"/>
      <c r="L9" s="586"/>
      <c r="M9" s="586"/>
      <c r="N9" s="586"/>
      <c r="O9" s="586"/>
      <c r="P9" s="586"/>
      <c r="Q9" s="586"/>
      <c r="R9" s="586"/>
    </row>
    <row r="10" spans="1:18">
      <c r="A10" s="562"/>
      <c r="B10" s="563"/>
      <c r="C10" s="563"/>
      <c r="D10" s="563"/>
      <c r="E10" s="563"/>
      <c r="F10" s="563"/>
      <c r="G10" s="563"/>
      <c r="H10" s="563"/>
      <c r="I10" s="563"/>
      <c r="J10" s="563"/>
      <c r="K10" s="563"/>
      <c r="L10" s="563"/>
      <c r="M10" s="563"/>
      <c r="N10" s="563"/>
      <c r="O10" s="563"/>
    </row>
    <row r="11" spans="1:18">
      <c r="A11" s="564" t="s">
        <v>270</v>
      </c>
    </row>
    <row r="12" spans="1:18">
      <c r="A12" s="564" t="s">
        <v>171</v>
      </c>
    </row>
    <row r="13" spans="1:18" ht="26.25" customHeight="1">
      <c r="A13" s="587" t="s">
        <v>232</v>
      </c>
      <c r="B13" s="587"/>
      <c r="C13" s="587"/>
      <c r="D13" s="587"/>
      <c r="E13" s="587"/>
      <c r="F13" s="587"/>
      <c r="G13" s="587"/>
      <c r="H13" s="587"/>
      <c r="I13" s="587"/>
      <c r="J13" s="587"/>
      <c r="K13" s="587"/>
      <c r="L13" s="587"/>
      <c r="M13" s="587"/>
      <c r="N13" s="587"/>
      <c r="O13" s="587"/>
      <c r="P13" s="587"/>
      <c r="Q13" s="587"/>
      <c r="R13" s="587"/>
    </row>
    <row r="14" spans="1:18">
      <c r="A14" s="587" t="s">
        <v>241</v>
      </c>
      <c r="B14" s="587"/>
      <c r="C14" s="587"/>
      <c r="D14" s="587"/>
      <c r="E14" s="587"/>
      <c r="F14" s="587"/>
      <c r="G14" s="587"/>
      <c r="H14" s="587"/>
      <c r="I14" s="587"/>
      <c r="J14" s="587"/>
      <c r="K14" s="587"/>
      <c r="L14" s="587"/>
      <c r="M14" s="587"/>
      <c r="N14" s="587"/>
      <c r="O14" s="587"/>
      <c r="P14" s="587"/>
      <c r="Q14" s="587"/>
      <c r="R14" s="587"/>
    </row>
    <row r="15" spans="1:18">
      <c r="A15" s="564" t="s">
        <v>295</v>
      </c>
    </row>
    <row r="16" spans="1:18">
      <c r="A16" s="564" t="s">
        <v>281</v>
      </c>
    </row>
    <row r="17" spans="1:18">
      <c r="A17" s="564" t="s">
        <v>172</v>
      </c>
    </row>
    <row r="18" spans="1:18" ht="6" customHeight="1">
      <c r="A18" s="567"/>
      <c r="B18" s="566"/>
      <c r="C18" s="566"/>
      <c r="D18" s="566"/>
      <c r="E18" s="566"/>
      <c r="F18" s="566"/>
      <c r="G18" s="566"/>
      <c r="H18" s="566"/>
      <c r="I18" s="566"/>
      <c r="J18" s="566"/>
      <c r="K18" s="566"/>
      <c r="L18" s="566"/>
      <c r="M18" s="566"/>
      <c r="N18" s="566"/>
      <c r="O18" s="566"/>
    </row>
    <row r="19" spans="1:18" ht="362.25" customHeight="1">
      <c r="A19" s="584" t="s">
        <v>269</v>
      </c>
      <c r="B19" s="585"/>
      <c r="C19" s="585"/>
      <c r="D19" s="585"/>
      <c r="E19" s="585"/>
      <c r="F19" s="585"/>
      <c r="G19" s="585"/>
      <c r="H19" s="585"/>
      <c r="I19" s="585"/>
      <c r="J19" s="585"/>
      <c r="K19" s="585"/>
      <c r="L19" s="585"/>
      <c r="M19" s="585"/>
      <c r="N19" s="585"/>
      <c r="O19" s="585"/>
      <c r="P19" s="585"/>
      <c r="Q19" s="585"/>
      <c r="R19" s="585"/>
    </row>
    <row r="20" spans="1:18" ht="6" customHeight="1">
      <c r="A20" s="567"/>
      <c r="B20" s="566"/>
      <c r="C20" s="566"/>
      <c r="D20" s="566"/>
      <c r="E20" s="566"/>
      <c r="F20" s="566"/>
      <c r="G20" s="566"/>
      <c r="H20" s="566"/>
      <c r="I20" s="566"/>
      <c r="J20" s="566"/>
      <c r="K20" s="566"/>
      <c r="L20" s="566"/>
      <c r="M20" s="566"/>
      <c r="N20" s="566"/>
      <c r="O20" s="566"/>
    </row>
    <row r="21" spans="1:18" ht="34.5" customHeight="1">
      <c r="A21" s="584" t="s">
        <v>75</v>
      </c>
      <c r="B21" s="585"/>
      <c r="C21" s="585"/>
      <c r="D21" s="585"/>
      <c r="E21" s="585"/>
      <c r="F21" s="585"/>
      <c r="G21" s="585"/>
      <c r="H21" s="585"/>
      <c r="I21" s="585"/>
      <c r="J21" s="585"/>
      <c r="K21" s="585"/>
      <c r="L21" s="585"/>
      <c r="M21" s="585"/>
      <c r="N21" s="585"/>
      <c r="O21" s="585"/>
      <c r="P21" s="585"/>
      <c r="Q21" s="585"/>
      <c r="R21" s="585"/>
    </row>
    <row r="22" spans="1:18" ht="6" customHeight="1">
      <c r="A22" s="567"/>
      <c r="B22" s="566"/>
      <c r="C22" s="566"/>
      <c r="D22" s="566"/>
      <c r="E22" s="566"/>
      <c r="F22" s="566"/>
      <c r="G22" s="566"/>
      <c r="H22" s="566"/>
      <c r="I22" s="566"/>
      <c r="J22" s="566"/>
      <c r="K22" s="566"/>
      <c r="L22" s="566"/>
      <c r="M22" s="566"/>
      <c r="N22" s="566"/>
      <c r="O22" s="566"/>
    </row>
    <row r="23" spans="1:18" ht="39" customHeight="1">
      <c r="A23" s="584" t="s">
        <v>244</v>
      </c>
      <c r="B23" s="585"/>
      <c r="C23" s="585"/>
      <c r="D23" s="585"/>
      <c r="E23" s="585"/>
      <c r="F23" s="585"/>
      <c r="G23" s="585"/>
      <c r="H23" s="585"/>
      <c r="I23" s="585"/>
      <c r="J23" s="585"/>
      <c r="K23" s="585"/>
      <c r="L23" s="585"/>
      <c r="M23" s="585"/>
      <c r="N23" s="585"/>
      <c r="O23" s="585"/>
      <c r="P23" s="585"/>
      <c r="Q23" s="585"/>
      <c r="R23" s="585"/>
    </row>
    <row r="24" spans="1:18" ht="5.25" customHeight="1">
      <c r="A24" s="568"/>
      <c r="B24" s="569"/>
      <c r="C24" s="569"/>
      <c r="D24" s="569"/>
      <c r="E24" s="569"/>
      <c r="F24" s="569"/>
      <c r="G24" s="569"/>
      <c r="H24" s="569"/>
      <c r="I24" s="569"/>
      <c r="J24" s="569"/>
      <c r="K24" s="569"/>
      <c r="L24" s="569"/>
      <c r="M24" s="569"/>
      <c r="N24" s="569"/>
      <c r="O24" s="569"/>
      <c r="P24" s="569"/>
      <c r="Q24" s="569"/>
      <c r="R24" s="569"/>
    </row>
    <row r="25" spans="1:18">
      <c r="A25" s="584" t="s">
        <v>249</v>
      </c>
      <c r="B25" s="585"/>
      <c r="C25" s="585"/>
      <c r="D25" s="585"/>
      <c r="E25" s="585"/>
      <c r="F25" s="585"/>
      <c r="G25" s="585"/>
      <c r="H25" s="585"/>
      <c r="I25" s="585"/>
      <c r="J25" s="585"/>
      <c r="K25" s="585"/>
      <c r="L25" s="585"/>
      <c r="M25" s="585"/>
      <c r="N25" s="585"/>
      <c r="O25" s="585"/>
      <c r="P25" s="585"/>
      <c r="Q25" s="585"/>
      <c r="R25" s="585"/>
    </row>
    <row r="26" spans="1:18" ht="5.25" customHeight="1">
      <c r="A26" s="575"/>
      <c r="B26" s="576"/>
      <c r="C26" s="576"/>
      <c r="D26" s="576"/>
      <c r="E26" s="576"/>
      <c r="F26" s="576"/>
      <c r="G26" s="576"/>
      <c r="H26" s="576"/>
      <c r="I26" s="576"/>
      <c r="J26" s="576"/>
      <c r="K26" s="576"/>
      <c r="L26" s="576"/>
      <c r="M26" s="576"/>
      <c r="N26" s="576"/>
      <c r="O26" s="576"/>
      <c r="P26" s="576"/>
      <c r="Q26" s="576"/>
      <c r="R26" s="576"/>
    </row>
    <row r="27" spans="1:18" s="570" customFormat="1" ht="66" customHeight="1">
      <c r="A27" s="582" t="s">
        <v>272</v>
      </c>
      <c r="B27" s="583"/>
      <c r="C27" s="583"/>
      <c r="D27" s="583"/>
      <c r="E27" s="583"/>
      <c r="F27" s="583"/>
      <c r="G27" s="583"/>
      <c r="H27" s="583"/>
      <c r="I27" s="583"/>
      <c r="J27" s="583"/>
      <c r="K27" s="583"/>
      <c r="L27" s="583"/>
      <c r="M27" s="583"/>
      <c r="N27" s="583"/>
      <c r="O27" s="583"/>
      <c r="P27" s="583"/>
      <c r="Q27" s="583"/>
      <c r="R27" s="583"/>
    </row>
    <row r="28" spans="1:18" s="570" customFormat="1">
      <c r="A28" s="568"/>
      <c r="B28" s="569"/>
      <c r="C28" s="569"/>
      <c r="D28" s="569"/>
      <c r="E28" s="569"/>
      <c r="F28" s="569"/>
      <c r="G28" s="569"/>
      <c r="H28" s="569"/>
      <c r="I28" s="569"/>
      <c r="J28" s="569"/>
      <c r="K28" s="569"/>
      <c r="L28" s="569"/>
      <c r="M28" s="569"/>
      <c r="N28" s="569"/>
      <c r="O28" s="569"/>
      <c r="P28" s="569"/>
      <c r="Q28" s="569"/>
      <c r="R28" s="569"/>
    </row>
    <row r="29" spans="1:18" ht="59.25" customHeight="1">
      <c r="A29" s="584"/>
      <c r="B29" s="585"/>
      <c r="C29" s="585"/>
      <c r="D29" s="585"/>
      <c r="E29" s="585"/>
      <c r="F29" s="585"/>
      <c r="G29" s="585"/>
      <c r="H29" s="585"/>
      <c r="I29" s="585"/>
      <c r="J29" s="585"/>
      <c r="K29" s="585"/>
      <c r="L29" s="585"/>
      <c r="M29" s="585"/>
      <c r="N29" s="585"/>
      <c r="O29" s="585"/>
      <c r="P29" s="585"/>
      <c r="Q29" s="585"/>
      <c r="R29" s="585"/>
    </row>
    <row r="30" spans="1:18">
      <c r="A30" s="565"/>
      <c r="B30" s="566"/>
      <c r="C30" s="566"/>
      <c r="D30" s="566"/>
      <c r="E30" s="566"/>
      <c r="F30" s="566"/>
      <c r="G30" s="566"/>
      <c r="H30" s="566"/>
      <c r="I30" s="566"/>
      <c r="J30" s="566"/>
      <c r="K30" s="566"/>
      <c r="L30" s="566"/>
      <c r="M30" s="566"/>
      <c r="N30" s="566"/>
      <c r="O30" s="566"/>
      <c r="P30" s="566"/>
      <c r="Q30" s="566"/>
      <c r="R30" s="566"/>
    </row>
  </sheetData>
  <mergeCells count="10">
    <mergeCell ref="A27:R27"/>
    <mergeCell ref="A29:R29"/>
    <mergeCell ref="A23:R23"/>
    <mergeCell ref="A7:R7"/>
    <mergeCell ref="A19:R19"/>
    <mergeCell ref="A21:R21"/>
    <mergeCell ref="A13:R13"/>
    <mergeCell ref="A14:R14"/>
    <mergeCell ref="A9:R9"/>
    <mergeCell ref="A25:R25"/>
  </mergeCells>
  <phoneticPr fontId="14" type="noConversion"/>
  <pageMargins left="0.7" right="0.7" top="0.25" bottom="0.44" header="0.3" footer="0.3"/>
  <pageSetup scale="65" orientation="landscape" r:id="rId1"/>
  <headerFooter>
    <oddFooter>&amp;LActivision Blizzard, Inc.&amp;R&amp;P of &amp; 17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8"/>
  <sheetViews>
    <sheetView view="pageBreakPreview" zoomScale="60" zoomScaleNormal="100" workbookViewId="0">
      <selection activeCell="J17" sqref="J17"/>
    </sheetView>
  </sheetViews>
  <sheetFormatPr defaultRowHeight="12"/>
  <cols>
    <col min="1" max="1" width="1.7109375" style="71" customWidth="1"/>
    <col min="2" max="2" width="2.7109375" style="71" customWidth="1"/>
    <col min="3" max="3" width="2.85546875" style="71" customWidth="1"/>
    <col min="4" max="4" width="34.85546875" style="71" customWidth="1"/>
    <col min="5" max="5" width="52.140625" style="71" customWidth="1"/>
    <col min="6" max="7" width="16.7109375" style="71" customWidth="1"/>
    <col min="8" max="8" width="15.28515625" style="71" customWidth="1"/>
    <col min="9" max="16384" width="9.140625" style="71"/>
  </cols>
  <sheetData>
    <row r="1" spans="2:8" ht="15" customHeight="1">
      <c r="B1" s="595" t="s">
        <v>178</v>
      </c>
      <c r="C1" s="595"/>
      <c r="D1" s="595"/>
      <c r="E1" s="595"/>
      <c r="F1" s="595"/>
      <c r="G1" s="595"/>
      <c r="H1" s="595"/>
    </row>
    <row r="2" spans="2:8" ht="15" customHeight="1">
      <c r="B2" s="595" t="s">
        <v>245</v>
      </c>
      <c r="C2" s="595"/>
      <c r="D2" s="595"/>
      <c r="E2" s="595"/>
      <c r="F2" s="595"/>
      <c r="G2" s="595"/>
      <c r="H2" s="595"/>
    </row>
    <row r="3" spans="2:8" ht="15" customHeight="1">
      <c r="B3" s="595" t="s">
        <v>78</v>
      </c>
      <c r="C3" s="595"/>
      <c r="D3" s="595"/>
      <c r="E3" s="595"/>
      <c r="F3" s="595"/>
      <c r="G3" s="595"/>
      <c r="H3" s="595"/>
    </row>
    <row r="4" spans="2:8">
      <c r="B4" s="72"/>
      <c r="C4" s="72"/>
      <c r="D4" s="72"/>
      <c r="E4" s="72"/>
      <c r="F4" s="72"/>
      <c r="G4" s="72"/>
      <c r="H4" s="72"/>
    </row>
    <row r="5" spans="2:8">
      <c r="B5" s="72"/>
      <c r="C5" s="72"/>
      <c r="E5" s="72"/>
      <c r="F5" s="72"/>
      <c r="G5" s="72"/>
      <c r="H5" s="72"/>
    </row>
    <row r="6" spans="2:8" ht="15.75" customHeight="1" thickBot="1">
      <c r="B6" s="73"/>
      <c r="C6" s="73"/>
      <c r="D6" s="73"/>
      <c r="E6" s="74"/>
      <c r="F6" s="596" t="s">
        <v>179</v>
      </c>
      <c r="G6" s="596"/>
      <c r="H6" s="596"/>
    </row>
    <row r="7" spans="2:8" ht="12.75" thickBot="1">
      <c r="B7" s="73"/>
      <c r="C7" s="73"/>
      <c r="D7" s="73"/>
      <c r="E7" s="74"/>
      <c r="F7" s="75">
        <v>2011</v>
      </c>
      <c r="G7" s="75">
        <v>2010</v>
      </c>
      <c r="H7" s="75">
        <v>2009</v>
      </c>
    </row>
    <row r="8" spans="2:8">
      <c r="B8" s="76" t="s">
        <v>180</v>
      </c>
      <c r="C8" s="76"/>
      <c r="D8" s="76"/>
      <c r="E8" s="72"/>
      <c r="F8" s="72"/>
      <c r="G8" s="72"/>
      <c r="H8" s="72"/>
    </row>
    <row r="9" spans="2:8">
      <c r="B9" s="72"/>
      <c r="C9" s="76" t="s">
        <v>283</v>
      </c>
      <c r="D9" s="76"/>
      <c r="E9" s="72"/>
      <c r="F9" s="77">
        <v>1085</v>
      </c>
      <c r="G9" s="77">
        <v>418</v>
      </c>
      <c r="H9" s="78">
        <v>113</v>
      </c>
    </row>
    <row r="10" spans="2:8">
      <c r="B10" s="72"/>
      <c r="C10" s="76" t="s">
        <v>181</v>
      </c>
      <c r="D10" s="76"/>
      <c r="E10" s="72"/>
      <c r="F10" s="72"/>
      <c r="G10" s="72"/>
      <c r="H10" s="79"/>
    </row>
    <row r="11" spans="2:8">
      <c r="B11" s="72"/>
      <c r="C11" s="72"/>
      <c r="D11" s="72" t="s">
        <v>74</v>
      </c>
      <c r="E11" s="72"/>
      <c r="F11" s="80">
        <v>75</v>
      </c>
      <c r="G11" s="80">
        <v>-278</v>
      </c>
      <c r="H11" s="81">
        <v>-256</v>
      </c>
    </row>
    <row r="12" spans="2:8">
      <c r="B12" s="72"/>
      <c r="C12" s="72"/>
      <c r="D12" s="72" t="s">
        <v>273</v>
      </c>
      <c r="E12" s="72"/>
      <c r="F12" s="80">
        <v>12</v>
      </c>
      <c r="G12" s="80">
        <v>326</v>
      </c>
      <c r="H12" s="81">
        <v>409</v>
      </c>
    </row>
    <row r="13" spans="2:8">
      <c r="B13" s="72"/>
      <c r="C13" s="72"/>
      <c r="D13" s="72" t="s">
        <v>182</v>
      </c>
      <c r="E13" s="72"/>
      <c r="F13" s="80">
        <v>148</v>
      </c>
      <c r="G13" s="80">
        <v>198</v>
      </c>
      <c r="H13" s="81">
        <v>347</v>
      </c>
    </row>
    <row r="14" spans="2:8">
      <c r="B14" s="72"/>
      <c r="C14" s="72"/>
      <c r="D14" s="72" t="s">
        <v>183</v>
      </c>
      <c r="E14" s="72"/>
      <c r="F14" s="80">
        <v>4</v>
      </c>
      <c r="G14" s="80">
        <v>1</v>
      </c>
      <c r="H14" s="81">
        <v>2</v>
      </c>
    </row>
    <row r="15" spans="2:8">
      <c r="B15" s="72"/>
      <c r="C15" s="72"/>
      <c r="D15" s="72" t="s">
        <v>184</v>
      </c>
      <c r="E15" s="72"/>
      <c r="F15" s="80">
        <v>287</v>
      </c>
      <c r="G15" s="80">
        <v>319</v>
      </c>
      <c r="H15" s="81">
        <v>281</v>
      </c>
    </row>
    <row r="16" spans="2:8">
      <c r="B16" s="72"/>
      <c r="C16" s="72"/>
      <c r="D16" s="72" t="s">
        <v>185</v>
      </c>
      <c r="E16" s="72"/>
      <c r="F16" s="80">
        <v>103</v>
      </c>
      <c r="G16" s="80">
        <v>131</v>
      </c>
      <c r="H16" s="81">
        <v>156</v>
      </c>
    </row>
    <row r="17" spans="2:8">
      <c r="B17" s="72"/>
      <c r="C17" s="72"/>
      <c r="D17" s="72" t="s">
        <v>186</v>
      </c>
      <c r="E17" s="72"/>
      <c r="F17" s="80">
        <v>-24</v>
      </c>
      <c r="G17" s="80">
        <v>-22</v>
      </c>
      <c r="H17" s="81">
        <v>-79</v>
      </c>
    </row>
    <row r="18" spans="2:8">
      <c r="B18" s="72"/>
      <c r="C18" s="76" t="s">
        <v>187</v>
      </c>
      <c r="D18" s="76"/>
      <c r="E18" s="72"/>
      <c r="F18" s="80"/>
      <c r="G18" s="80"/>
      <c r="H18" s="81"/>
    </row>
    <row r="19" spans="2:8">
      <c r="B19" s="72"/>
      <c r="C19" s="72"/>
      <c r="D19" s="72" t="s">
        <v>300</v>
      </c>
      <c r="E19" s="72"/>
      <c r="F19" s="80">
        <v>13</v>
      </c>
      <c r="G19" s="80">
        <v>43</v>
      </c>
      <c r="H19" s="81">
        <v>235</v>
      </c>
    </row>
    <row r="20" spans="2:8">
      <c r="B20" s="72"/>
      <c r="C20" s="72"/>
      <c r="D20" s="72" t="s">
        <v>299</v>
      </c>
      <c r="E20" s="72"/>
      <c r="F20" s="80">
        <v>-34</v>
      </c>
      <c r="G20" s="80">
        <v>124</v>
      </c>
      <c r="H20" s="81">
        <v>21</v>
      </c>
    </row>
    <row r="21" spans="2:8">
      <c r="B21" s="72"/>
      <c r="C21" s="72"/>
      <c r="D21" s="72" t="s">
        <v>188</v>
      </c>
      <c r="E21" s="72"/>
      <c r="F21" s="80">
        <v>-254</v>
      </c>
      <c r="G21" s="80">
        <v>-313</v>
      </c>
      <c r="H21" s="81">
        <v>-308</v>
      </c>
    </row>
    <row r="22" spans="2:8">
      <c r="B22" s="72"/>
      <c r="C22" s="72"/>
      <c r="D22" s="72" t="s">
        <v>9</v>
      </c>
      <c r="E22" s="72"/>
      <c r="F22" s="80">
        <v>-67</v>
      </c>
      <c r="G22" s="80">
        <v>17</v>
      </c>
      <c r="H22" s="81">
        <v>-110</v>
      </c>
    </row>
    <row r="23" spans="2:8">
      <c r="B23" s="72"/>
      <c r="C23" s="72"/>
      <c r="D23" s="72" t="s">
        <v>70</v>
      </c>
      <c r="E23" s="72"/>
      <c r="F23" s="80">
        <v>-248</v>
      </c>
      <c r="G23" s="80">
        <v>293</v>
      </c>
      <c r="H23" s="81">
        <v>503</v>
      </c>
    </row>
    <row r="24" spans="2:8">
      <c r="B24" s="72"/>
      <c r="C24" s="72"/>
      <c r="D24" s="72" t="s">
        <v>69</v>
      </c>
      <c r="E24" s="72"/>
      <c r="F24" s="80">
        <v>31</v>
      </c>
      <c r="G24" s="80">
        <v>70</v>
      </c>
      <c r="H24" s="81">
        <v>-18</v>
      </c>
    </row>
    <row r="25" spans="2:8">
      <c r="B25" s="72"/>
      <c r="C25" s="72"/>
      <c r="D25" s="72" t="s">
        <v>71</v>
      </c>
      <c r="E25" s="72"/>
      <c r="F25" s="80">
        <v>-179</v>
      </c>
      <c r="G25" s="80">
        <v>49</v>
      </c>
      <c r="H25" s="81">
        <v>-113</v>
      </c>
    </row>
    <row r="26" spans="2:8">
      <c r="B26" s="76"/>
      <c r="C26" s="76"/>
      <c r="D26" s="76"/>
      <c r="E26" s="72"/>
      <c r="F26" s="386"/>
      <c r="G26" s="386"/>
      <c r="H26" s="388"/>
    </row>
    <row r="27" spans="2:8">
      <c r="B27" s="72"/>
      <c r="C27" s="76" t="s">
        <v>189</v>
      </c>
      <c r="D27" s="76"/>
      <c r="E27" s="72"/>
      <c r="F27" s="389">
        <f>SUM(F9:F25)</f>
        <v>952</v>
      </c>
      <c r="G27" s="389">
        <f>SUM(G9:G25)</f>
        <v>1376</v>
      </c>
      <c r="H27" s="389">
        <f>SUM(H9:H25)</f>
        <v>1183</v>
      </c>
    </row>
    <row r="28" spans="2:8" s="83" customFormat="1">
      <c r="B28" s="82"/>
      <c r="C28" s="82"/>
      <c r="D28" s="82"/>
      <c r="E28" s="385"/>
      <c r="F28" s="386"/>
      <c r="G28" s="386"/>
      <c r="H28" s="387"/>
    </row>
    <row r="29" spans="2:8">
      <c r="B29" s="76" t="s">
        <v>190</v>
      </c>
      <c r="C29" s="76"/>
      <c r="D29" s="76"/>
      <c r="E29" s="72"/>
      <c r="F29" s="80"/>
      <c r="G29" s="80"/>
      <c r="H29" s="79"/>
    </row>
    <row r="30" spans="2:8">
      <c r="B30" s="72"/>
      <c r="C30" s="76" t="s">
        <v>282</v>
      </c>
      <c r="D30" s="76"/>
      <c r="E30" s="72"/>
      <c r="F30" s="80">
        <v>740</v>
      </c>
      <c r="G30" s="80">
        <v>519</v>
      </c>
      <c r="H30" s="81">
        <v>44</v>
      </c>
    </row>
    <row r="31" spans="2:8">
      <c r="B31" s="72"/>
      <c r="C31" s="76" t="s">
        <v>292</v>
      </c>
      <c r="D31" s="76"/>
      <c r="E31" s="72"/>
      <c r="F31" s="81" t="s">
        <v>191</v>
      </c>
      <c r="G31" s="80">
        <v>61</v>
      </c>
      <c r="H31" s="81" t="s">
        <v>191</v>
      </c>
    </row>
    <row r="32" spans="2:8">
      <c r="B32" s="72"/>
      <c r="C32" s="76" t="s">
        <v>192</v>
      </c>
      <c r="D32" s="76"/>
      <c r="E32" s="72"/>
      <c r="F32" s="81" t="s">
        <v>191</v>
      </c>
      <c r="G32" s="81" t="s">
        <v>191</v>
      </c>
      <c r="H32" s="81">
        <v>2</v>
      </c>
    </row>
    <row r="33" spans="2:8">
      <c r="B33" s="72"/>
      <c r="C33" s="76" t="s">
        <v>293</v>
      </c>
      <c r="D33" s="76"/>
      <c r="E33" s="72"/>
      <c r="F33" s="81">
        <v>10</v>
      </c>
      <c r="G33" s="81" t="s">
        <v>191</v>
      </c>
      <c r="H33" s="81" t="s">
        <v>191</v>
      </c>
    </row>
    <row r="34" spans="2:8">
      <c r="B34" s="72"/>
      <c r="C34" s="76" t="s">
        <v>193</v>
      </c>
      <c r="D34" s="76"/>
      <c r="E34" s="72"/>
      <c r="F34" s="81">
        <v>-3</v>
      </c>
      <c r="G34" s="81">
        <v>-4</v>
      </c>
      <c r="H34" s="81" t="s">
        <v>191</v>
      </c>
    </row>
    <row r="35" spans="2:8">
      <c r="B35" s="72"/>
      <c r="C35" s="76" t="s">
        <v>194</v>
      </c>
      <c r="D35" s="76"/>
      <c r="E35" s="72"/>
      <c r="F35" s="81">
        <v>-417</v>
      </c>
      <c r="G35" s="81">
        <v>-800</v>
      </c>
      <c r="H35" s="81">
        <v>-425</v>
      </c>
    </row>
    <row r="36" spans="2:8">
      <c r="B36" s="72"/>
      <c r="C36" s="76" t="s">
        <v>11</v>
      </c>
      <c r="D36" s="76"/>
      <c r="E36" s="72"/>
      <c r="F36" s="81">
        <v>-72</v>
      </c>
      <c r="G36" s="81">
        <v>-97</v>
      </c>
      <c r="H36" s="81">
        <v>-69</v>
      </c>
    </row>
    <row r="37" spans="2:8">
      <c r="B37" s="72"/>
      <c r="C37" s="76" t="s">
        <v>195</v>
      </c>
      <c r="D37" s="76"/>
      <c r="E37" s="72"/>
      <c r="F37" s="80">
        <v>8</v>
      </c>
      <c r="G37" s="80">
        <v>9</v>
      </c>
      <c r="H37" s="81">
        <v>5</v>
      </c>
    </row>
    <row r="38" spans="2:8">
      <c r="B38" s="76"/>
      <c r="C38" s="76"/>
      <c r="D38" s="76"/>
      <c r="E38" s="72"/>
      <c r="F38" s="386"/>
      <c r="G38" s="386"/>
      <c r="H38" s="388"/>
    </row>
    <row r="39" spans="2:8">
      <c r="B39" s="72"/>
      <c r="C39" s="76" t="s">
        <v>196</v>
      </c>
      <c r="D39" s="76"/>
      <c r="E39" s="72"/>
      <c r="F39" s="389">
        <f>SUM(F30:F37)</f>
        <v>266</v>
      </c>
      <c r="G39" s="389">
        <f>SUM(G30:G37)</f>
        <v>-312</v>
      </c>
      <c r="H39" s="389">
        <f>SUM(H30:H37)</f>
        <v>-443</v>
      </c>
    </row>
    <row r="40" spans="2:8">
      <c r="B40" s="76"/>
      <c r="C40" s="76"/>
      <c r="D40" s="76"/>
      <c r="E40" s="72"/>
      <c r="F40" s="386"/>
      <c r="G40" s="386"/>
      <c r="H40" s="388"/>
    </row>
    <row r="41" spans="2:8">
      <c r="B41" s="76" t="s">
        <v>197</v>
      </c>
      <c r="C41" s="76"/>
      <c r="D41" s="76"/>
      <c r="E41" s="72"/>
      <c r="F41" s="390"/>
      <c r="G41" s="390"/>
      <c r="H41" s="388"/>
    </row>
    <row r="42" spans="2:8">
      <c r="B42" s="72"/>
      <c r="C42" s="76" t="s">
        <v>198</v>
      </c>
      <c r="D42" s="76"/>
      <c r="E42" s="72"/>
      <c r="F42" s="80">
        <v>54</v>
      </c>
      <c r="G42" s="80">
        <v>73</v>
      </c>
      <c r="H42" s="81">
        <v>81</v>
      </c>
    </row>
    <row r="43" spans="2:8">
      <c r="B43" s="72"/>
      <c r="C43" s="76" t="s">
        <v>199</v>
      </c>
      <c r="D43" s="76"/>
      <c r="E43" s="72"/>
      <c r="F43" s="81">
        <v>-692</v>
      </c>
      <c r="G43" s="81">
        <v>-959</v>
      </c>
      <c r="H43" s="81">
        <v>-1109</v>
      </c>
    </row>
    <row r="44" spans="2:8">
      <c r="B44" s="72"/>
      <c r="C44" s="76" t="s">
        <v>200</v>
      </c>
      <c r="D44" s="76"/>
      <c r="E44" s="72"/>
      <c r="F44" s="81">
        <v>-194</v>
      </c>
      <c r="G44" s="81">
        <v>-189</v>
      </c>
      <c r="H44" s="81" t="s">
        <v>191</v>
      </c>
    </row>
    <row r="45" spans="2:8">
      <c r="B45" s="72"/>
      <c r="C45" s="76" t="s">
        <v>186</v>
      </c>
      <c r="D45" s="76"/>
      <c r="E45" s="72"/>
      <c r="F45" s="81">
        <v>24</v>
      </c>
      <c r="G45" s="81">
        <v>22</v>
      </c>
      <c r="H45" s="81">
        <v>79</v>
      </c>
    </row>
    <row r="46" spans="2:8">
      <c r="B46" s="76"/>
      <c r="C46" s="76"/>
      <c r="D46" s="76"/>
      <c r="E46" s="72"/>
      <c r="F46" s="391"/>
      <c r="G46" s="391"/>
      <c r="H46" s="392"/>
    </row>
    <row r="47" spans="2:8">
      <c r="B47" s="72"/>
      <c r="C47" s="76" t="s">
        <v>201</v>
      </c>
      <c r="D47" s="76"/>
      <c r="E47" s="72"/>
      <c r="F47" s="389">
        <f>SUM(F42:F46)</f>
        <v>-808</v>
      </c>
      <c r="G47" s="389">
        <f>SUM(G42:G46)</f>
        <v>-1053</v>
      </c>
      <c r="H47" s="389">
        <f>SUM(H42:H46)</f>
        <v>-949</v>
      </c>
    </row>
    <row r="48" spans="2:8">
      <c r="B48" s="76"/>
      <c r="C48" s="76"/>
      <c r="D48" s="76"/>
      <c r="E48" s="72"/>
      <c r="F48" s="386"/>
      <c r="G48" s="386"/>
      <c r="H48" s="388"/>
    </row>
    <row r="49" spans="2:8">
      <c r="B49" s="76" t="s">
        <v>202</v>
      </c>
      <c r="C49" s="76"/>
      <c r="D49" s="76"/>
      <c r="E49" s="72"/>
      <c r="F49" s="80">
        <v>-57</v>
      </c>
      <c r="G49" s="80">
        <v>33</v>
      </c>
      <c r="H49" s="81">
        <v>19</v>
      </c>
    </row>
    <row r="50" spans="2:8">
      <c r="B50" s="76"/>
      <c r="C50" s="76"/>
      <c r="D50" s="76"/>
      <c r="E50" s="72"/>
      <c r="F50" s="391"/>
      <c r="G50" s="391"/>
      <c r="H50" s="392"/>
    </row>
    <row r="51" spans="2:8">
      <c r="B51" s="76" t="s">
        <v>203</v>
      </c>
      <c r="C51" s="76"/>
      <c r="D51" s="76"/>
      <c r="E51" s="72"/>
      <c r="F51" s="80">
        <f>F27+F39+F47+F49</f>
        <v>353</v>
      </c>
      <c r="G51" s="80">
        <f>G27+G39+G47+G49</f>
        <v>44</v>
      </c>
      <c r="H51" s="80">
        <f>H27+H39+H47+H49</f>
        <v>-190</v>
      </c>
    </row>
    <row r="52" spans="2:8">
      <c r="B52" s="76" t="s">
        <v>204</v>
      </c>
      <c r="C52" s="76"/>
      <c r="D52" s="76"/>
      <c r="E52" s="72"/>
      <c r="F52" s="80">
        <f>G54</f>
        <v>2812</v>
      </c>
      <c r="G52" s="80">
        <f>H54</f>
        <v>2768</v>
      </c>
      <c r="H52" s="81">
        <v>2958</v>
      </c>
    </row>
    <row r="53" spans="2:8">
      <c r="B53" s="76"/>
      <c r="C53" s="76"/>
      <c r="D53" s="76"/>
      <c r="E53" s="72"/>
      <c r="F53" s="82"/>
      <c r="G53" s="82"/>
      <c r="H53" s="387"/>
    </row>
    <row r="54" spans="2:8" ht="12.75" thickBot="1">
      <c r="B54" s="76" t="s">
        <v>205</v>
      </c>
      <c r="C54" s="76"/>
      <c r="D54" s="76"/>
      <c r="E54" s="72"/>
      <c r="F54" s="402">
        <f>F51+F52</f>
        <v>3165</v>
      </c>
      <c r="G54" s="402">
        <f>G51+G52</f>
        <v>2812</v>
      </c>
      <c r="H54" s="402">
        <f>H51+H52</f>
        <v>2768</v>
      </c>
    </row>
    <row r="55" spans="2:8">
      <c r="B55" s="76"/>
      <c r="C55" s="76"/>
      <c r="D55" s="76"/>
      <c r="E55" s="72"/>
      <c r="F55" s="82"/>
      <c r="G55" s="82"/>
      <c r="H55" s="82"/>
    </row>
    <row r="56" spans="2:8">
      <c r="E56" s="83"/>
      <c r="F56" s="83"/>
      <c r="G56" s="83"/>
      <c r="H56" s="83"/>
    </row>
    <row r="57" spans="2:8">
      <c r="B57" s="399" t="s">
        <v>230</v>
      </c>
    </row>
    <row r="58" spans="2:8">
      <c r="B58" s="399" t="s">
        <v>231</v>
      </c>
    </row>
  </sheetData>
  <mergeCells count="4">
    <mergeCell ref="B1:H1"/>
    <mergeCell ref="B2:H2"/>
    <mergeCell ref="B3:H3"/>
    <mergeCell ref="F6:H6"/>
  </mergeCells>
  <pageMargins left="0.7" right="0.7" top="0.25" bottom="0.44" header="0.3" footer="0.3"/>
  <pageSetup scale="63" orientation="portrait" r:id="rId1"/>
  <headerFooter>
    <oddFooter>&amp;LActivision Blizzard, Inc.&amp;R&amp;P of &amp; 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6"/>
  <sheetViews>
    <sheetView showGridLines="0" view="pageBreakPreview" zoomScale="60" zoomScaleNormal="100" workbookViewId="0">
      <selection activeCell="J17" sqref="J17"/>
    </sheetView>
  </sheetViews>
  <sheetFormatPr defaultRowHeight="12"/>
  <cols>
    <col min="1" max="1" width="2.85546875" style="84" customWidth="1"/>
    <col min="2" max="2" width="1.42578125" style="84" customWidth="1"/>
    <col min="3" max="3" width="58.28515625" style="84" customWidth="1"/>
    <col min="4" max="4" width="2.8554687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02" t="s">
        <v>76</v>
      </c>
      <c r="C1" s="602"/>
      <c r="D1" s="602"/>
      <c r="E1" s="602"/>
      <c r="F1" s="602"/>
      <c r="G1" s="602"/>
      <c r="H1" s="602"/>
      <c r="I1" s="602"/>
      <c r="J1" s="602"/>
      <c r="K1" s="602"/>
      <c r="L1" s="602"/>
      <c r="M1" s="602"/>
      <c r="N1" s="602"/>
    </row>
    <row r="2" spans="2:14">
      <c r="B2" s="602" t="s">
        <v>117</v>
      </c>
      <c r="C2" s="602"/>
      <c r="D2" s="602"/>
      <c r="E2" s="602"/>
      <c r="F2" s="602"/>
      <c r="G2" s="602"/>
      <c r="H2" s="602"/>
      <c r="I2" s="602"/>
      <c r="J2" s="602"/>
      <c r="K2" s="602"/>
      <c r="L2" s="602"/>
      <c r="M2" s="602"/>
      <c r="N2" s="602"/>
    </row>
    <row r="3" spans="2:14">
      <c r="B3" s="602" t="s">
        <v>118</v>
      </c>
      <c r="C3" s="602"/>
      <c r="D3" s="602"/>
      <c r="E3" s="602"/>
      <c r="F3" s="602"/>
      <c r="G3" s="602"/>
      <c r="H3" s="602"/>
      <c r="I3" s="602"/>
      <c r="J3" s="602"/>
      <c r="K3" s="602"/>
      <c r="L3" s="602"/>
      <c r="M3" s="602"/>
      <c r="N3" s="602"/>
    </row>
    <row r="4" spans="2:14">
      <c r="B4" s="578"/>
      <c r="C4" s="578"/>
      <c r="D4" s="578"/>
      <c r="E4" s="578"/>
      <c r="F4" s="578"/>
      <c r="G4" s="578"/>
      <c r="H4" s="578"/>
      <c r="I4" s="578"/>
      <c r="J4" s="578"/>
      <c r="K4" s="578"/>
      <c r="L4" s="578"/>
      <c r="M4" s="578"/>
    </row>
    <row r="5" spans="2:14" ht="12.75" thickBot="1">
      <c r="B5" s="86"/>
      <c r="C5" s="87"/>
      <c r="D5" s="88"/>
      <c r="E5" s="87"/>
      <c r="F5" s="87"/>
      <c r="G5" s="88"/>
      <c r="H5" s="88"/>
      <c r="I5" s="88"/>
      <c r="J5" s="88"/>
      <c r="K5" s="89"/>
      <c r="L5" s="89"/>
      <c r="M5" s="89"/>
    </row>
    <row r="6" spans="2:14" ht="60">
      <c r="B6" s="180" t="s">
        <v>297</v>
      </c>
      <c r="C6" s="181"/>
      <c r="D6" s="182"/>
      <c r="E6" s="91" t="s">
        <v>119</v>
      </c>
      <c r="F6" s="91" t="s">
        <v>120</v>
      </c>
      <c r="G6" s="91" t="s">
        <v>285</v>
      </c>
      <c r="H6" s="91" t="s">
        <v>121</v>
      </c>
      <c r="I6" s="91" t="s">
        <v>122</v>
      </c>
      <c r="J6" s="91" t="s">
        <v>123</v>
      </c>
      <c r="K6" s="91" t="s">
        <v>124</v>
      </c>
      <c r="L6" s="91" t="s">
        <v>125</v>
      </c>
      <c r="M6" s="92" t="s">
        <v>126</v>
      </c>
    </row>
    <row r="7" spans="2:14">
      <c r="B7" s="598" t="s">
        <v>127</v>
      </c>
      <c r="C7" s="599"/>
      <c r="D7" s="185"/>
      <c r="E7" s="123">
        <v>1172</v>
      </c>
      <c r="F7" s="123">
        <v>257</v>
      </c>
      <c r="G7" s="123">
        <v>59</v>
      </c>
      <c r="H7" s="123">
        <v>31</v>
      </c>
      <c r="I7" s="123">
        <v>7</v>
      </c>
      <c r="J7" s="123">
        <v>124</v>
      </c>
      <c r="K7" s="123">
        <v>79</v>
      </c>
      <c r="L7" s="123">
        <v>102</v>
      </c>
      <c r="M7" s="186">
        <f>SUM(F7:L7)</f>
        <v>659</v>
      </c>
    </row>
    <row r="8" spans="2:14" ht="12" customHeight="1">
      <c r="B8" s="98"/>
      <c r="C8" s="99" t="s">
        <v>54</v>
      </c>
      <c r="D8" s="122" t="s">
        <v>129</v>
      </c>
      <c r="E8" s="129">
        <v>-585</v>
      </c>
      <c r="F8" s="129">
        <v>-119</v>
      </c>
      <c r="G8" s="135">
        <v>0</v>
      </c>
      <c r="H8" s="129">
        <v>-18</v>
      </c>
      <c r="I8" s="129">
        <v>-1</v>
      </c>
      <c r="J8" s="135">
        <v>0</v>
      </c>
      <c r="K8" s="135">
        <v>0</v>
      </c>
      <c r="L8" s="135">
        <v>0</v>
      </c>
      <c r="M8" s="187">
        <f>SUM(F8:L8)</f>
        <v>-138</v>
      </c>
    </row>
    <row r="9" spans="2:14">
      <c r="B9" s="98"/>
      <c r="C9" s="99" t="s">
        <v>55</v>
      </c>
      <c r="D9" s="122" t="s">
        <v>130</v>
      </c>
      <c r="E9" s="188">
        <v>0</v>
      </c>
      <c r="F9" s="135">
        <v>0</v>
      </c>
      <c r="G9" s="135">
        <v>0</v>
      </c>
      <c r="H9" s="135">
        <v>-3</v>
      </c>
      <c r="I9" s="135">
        <v>0</v>
      </c>
      <c r="J9" s="129">
        <v>-4</v>
      </c>
      <c r="K9" s="129">
        <v>-2</v>
      </c>
      <c r="L9" s="129">
        <v>-12</v>
      </c>
      <c r="M9" s="187">
        <f>SUM(F9:L9)</f>
        <v>-21</v>
      </c>
    </row>
    <row r="10" spans="2:14">
      <c r="B10" s="98"/>
      <c r="C10" s="99" t="s">
        <v>158</v>
      </c>
      <c r="D10" s="122" t="s">
        <v>131</v>
      </c>
      <c r="E10" s="135">
        <v>0</v>
      </c>
      <c r="F10" s="135">
        <v>0</v>
      </c>
      <c r="G10" s="135">
        <v>0</v>
      </c>
      <c r="H10" s="135">
        <v>0</v>
      </c>
      <c r="I10" s="129">
        <v>-3</v>
      </c>
      <c r="J10" s="135">
        <v>0</v>
      </c>
      <c r="K10" s="135">
        <v>0</v>
      </c>
      <c r="L10" s="135">
        <v>0</v>
      </c>
      <c r="M10" s="187">
        <f>SUM(F10:L10)</f>
        <v>-3</v>
      </c>
    </row>
    <row r="11" spans="2:14" ht="12.75" thickBot="1">
      <c r="B11" s="600" t="s">
        <v>133</v>
      </c>
      <c r="C11" s="601"/>
      <c r="D11" s="214"/>
      <c r="E11" s="141">
        <f t="shared" ref="E11:M11" si="0">SUM(E7:E10)</f>
        <v>587</v>
      </c>
      <c r="F11" s="141">
        <f t="shared" si="0"/>
        <v>138</v>
      </c>
      <c r="G11" s="141">
        <f t="shared" si="0"/>
        <v>59</v>
      </c>
      <c r="H11" s="141">
        <f t="shared" si="0"/>
        <v>10</v>
      </c>
      <c r="I11" s="141">
        <f t="shared" si="0"/>
        <v>3</v>
      </c>
      <c r="J11" s="141">
        <f t="shared" si="0"/>
        <v>120</v>
      </c>
      <c r="K11" s="141">
        <f t="shared" si="0"/>
        <v>77</v>
      </c>
      <c r="L11" s="141">
        <f t="shared" si="0"/>
        <v>90</v>
      </c>
      <c r="M11" s="192">
        <f t="shared" si="0"/>
        <v>497</v>
      </c>
    </row>
    <row r="12" spans="2:14" ht="5.25" customHeight="1" thickTop="1" thickBot="1">
      <c r="B12" s="108"/>
      <c r="C12" s="109"/>
      <c r="D12" s="110"/>
      <c r="E12" s="109"/>
      <c r="F12" s="111"/>
      <c r="G12" s="111"/>
      <c r="H12" s="111"/>
      <c r="I12" s="111"/>
      <c r="J12" s="111"/>
      <c r="K12" s="111"/>
      <c r="L12" s="111"/>
      <c r="M12" s="112"/>
    </row>
    <row r="13" spans="2:14" ht="12.75" customHeight="1" thickBot="1">
      <c r="B13" s="113"/>
      <c r="C13" s="114"/>
      <c r="D13" s="115"/>
      <c r="E13" s="114"/>
      <c r="F13" s="114"/>
      <c r="G13" s="114"/>
      <c r="H13" s="114"/>
      <c r="I13" s="114"/>
      <c r="J13" s="114"/>
      <c r="K13" s="114"/>
      <c r="L13" s="114"/>
      <c r="M13" s="114"/>
    </row>
    <row r="14" spans="2:14" ht="48">
      <c r="B14" s="199" t="str">
        <f>B6</f>
        <v>Three Months Ended March 31, 2012</v>
      </c>
      <c r="C14" s="200"/>
      <c r="D14" s="116"/>
      <c r="E14" s="117" t="s">
        <v>140</v>
      </c>
      <c r="F14" s="117" t="s">
        <v>141</v>
      </c>
      <c r="G14" s="467" t="s">
        <v>142</v>
      </c>
      <c r="H14" s="468" t="s">
        <v>143</v>
      </c>
      <c r="I14" s="119"/>
      <c r="J14" s="120"/>
      <c r="K14" s="121"/>
      <c r="L14" s="113"/>
      <c r="M14" s="113"/>
    </row>
    <row r="15" spans="2:14">
      <c r="B15" s="598" t="s">
        <v>127</v>
      </c>
      <c r="C15" s="599"/>
      <c r="D15" s="122"/>
      <c r="E15" s="123">
        <f>E7-M7</f>
        <v>513</v>
      </c>
      <c r="F15" s="314">
        <v>384</v>
      </c>
      <c r="G15" s="469">
        <v>0.34</v>
      </c>
      <c r="H15" s="470">
        <v>0.33</v>
      </c>
      <c r="I15" s="126"/>
      <c r="J15" s="127"/>
      <c r="K15" s="121"/>
      <c r="L15" s="113"/>
      <c r="M15" s="113"/>
      <c r="N15" s="113"/>
    </row>
    <row r="16" spans="2:14" ht="12" customHeight="1">
      <c r="B16" s="98"/>
      <c r="C16" s="99" t="s">
        <v>54</v>
      </c>
      <c r="D16" s="122" t="s">
        <v>129</v>
      </c>
      <c r="E16" s="128">
        <f>E8-M8</f>
        <v>-447</v>
      </c>
      <c r="F16" s="316">
        <v>-335</v>
      </c>
      <c r="G16" s="471">
        <v>-0.28999999999999998</v>
      </c>
      <c r="H16" s="472">
        <v>-0.28999999999999998</v>
      </c>
      <c r="I16" s="126"/>
      <c r="J16" s="126"/>
      <c r="K16" s="126"/>
      <c r="L16" s="126"/>
      <c r="M16" s="126"/>
      <c r="N16" s="133"/>
    </row>
    <row r="17" spans="2:14">
      <c r="B17" s="98"/>
      <c r="C17" s="99" t="s">
        <v>55</v>
      </c>
      <c r="D17" s="122" t="s">
        <v>130</v>
      </c>
      <c r="E17" s="128">
        <f>E9-M9</f>
        <v>21</v>
      </c>
      <c r="F17" s="316">
        <v>16</v>
      </c>
      <c r="G17" s="471">
        <v>0.01</v>
      </c>
      <c r="H17" s="472">
        <v>0.01</v>
      </c>
      <c r="I17" s="132"/>
      <c r="J17" s="132"/>
      <c r="K17" s="133"/>
      <c r="L17" s="133"/>
      <c r="M17" s="133"/>
      <c r="N17" s="133"/>
    </row>
    <row r="18" spans="2:14">
      <c r="B18" s="98"/>
      <c r="C18" s="99" t="s">
        <v>158</v>
      </c>
      <c r="D18" s="122" t="s">
        <v>131</v>
      </c>
      <c r="E18" s="128">
        <f>E10-M10</f>
        <v>3</v>
      </c>
      <c r="F18" s="316">
        <v>2</v>
      </c>
      <c r="G18" s="579">
        <v>0</v>
      </c>
      <c r="H18" s="472">
        <v>0</v>
      </c>
      <c r="I18" s="137"/>
      <c r="J18" s="137"/>
      <c r="K18" s="138"/>
      <c r="L18" s="133"/>
      <c r="M18" s="133"/>
      <c r="N18" s="133"/>
    </row>
    <row r="19" spans="2:14" ht="12.75" thickBot="1">
      <c r="B19" s="600" t="s">
        <v>133</v>
      </c>
      <c r="C19" s="601"/>
      <c r="D19" s="140"/>
      <c r="E19" s="141">
        <f>SUM(E15:E18)</f>
        <v>90</v>
      </c>
      <c r="F19" s="141">
        <f>SUM(F15:F18)</f>
        <v>67</v>
      </c>
      <c r="G19" s="476">
        <v>0.06</v>
      </c>
      <c r="H19" s="477">
        <v>0.06</v>
      </c>
      <c r="I19" s="144"/>
      <c r="J19" s="114"/>
      <c r="K19" s="114"/>
      <c r="L19" s="114"/>
      <c r="M19" s="114"/>
      <c r="N19" s="114"/>
    </row>
    <row r="20" spans="2:14" ht="5.25" customHeight="1" thickTop="1" thickBot="1">
      <c r="B20" s="145"/>
      <c r="C20" s="146"/>
      <c r="D20" s="147"/>
      <c r="E20" s="148"/>
      <c r="F20" s="148"/>
      <c r="G20" s="148"/>
      <c r="H20" s="149"/>
      <c r="I20" s="113"/>
      <c r="J20" s="114"/>
      <c r="K20" s="114"/>
      <c r="L20" s="114"/>
      <c r="M20" s="114"/>
      <c r="N20" s="114"/>
    </row>
    <row r="21" spans="2:14">
      <c r="B21" s="113"/>
      <c r="C21" s="113"/>
      <c r="D21" s="179"/>
      <c r="E21" s="113"/>
      <c r="F21" s="113"/>
      <c r="G21" s="113"/>
      <c r="H21" s="113"/>
      <c r="I21" s="113"/>
      <c r="J21" s="114"/>
      <c r="K21" s="114"/>
      <c r="L21" s="114"/>
      <c r="M21" s="114"/>
      <c r="N21" s="114"/>
    </row>
    <row r="22" spans="2:14">
      <c r="B22" s="209"/>
      <c r="C22" s="603" t="s">
        <v>144</v>
      </c>
      <c r="D22" s="603"/>
      <c r="E22" s="603"/>
      <c r="F22" s="603"/>
      <c r="G22" s="603"/>
      <c r="H22" s="603"/>
      <c r="I22" s="603"/>
      <c r="J22" s="603"/>
      <c r="K22" s="603"/>
      <c r="L22" s="603"/>
      <c r="M22" s="603"/>
      <c r="N22" s="603"/>
    </row>
    <row r="23" spans="2:14">
      <c r="B23" s="209"/>
      <c r="C23" s="604" t="s">
        <v>145</v>
      </c>
      <c r="D23" s="604"/>
      <c r="E23" s="604"/>
      <c r="F23" s="604"/>
      <c r="G23" s="604"/>
      <c r="H23" s="604"/>
      <c r="I23" s="604"/>
      <c r="J23" s="604"/>
      <c r="K23" s="604"/>
      <c r="L23" s="604"/>
      <c r="M23" s="604"/>
      <c r="N23" s="604"/>
    </row>
    <row r="24" spans="2:14">
      <c r="B24" s="210"/>
      <c r="C24" s="603" t="s">
        <v>298</v>
      </c>
      <c r="D24" s="603"/>
      <c r="E24" s="603"/>
      <c r="F24" s="603"/>
      <c r="G24" s="603"/>
      <c r="H24" s="603"/>
      <c r="I24" s="603"/>
      <c r="J24" s="603"/>
      <c r="K24" s="603"/>
      <c r="L24" s="603"/>
      <c r="M24" s="603"/>
      <c r="N24" s="603"/>
    </row>
    <row r="25" spans="2:14">
      <c r="B25" s="210"/>
      <c r="C25" s="577"/>
      <c r="D25" s="216"/>
      <c r="E25" s="216"/>
      <c r="F25" s="216"/>
      <c r="G25" s="216"/>
      <c r="H25" s="216"/>
      <c r="I25" s="216"/>
      <c r="J25" s="216"/>
      <c r="K25" s="216"/>
      <c r="L25" s="216"/>
      <c r="M25" s="216"/>
      <c r="N25" s="216"/>
    </row>
    <row r="26" spans="2:14">
      <c r="B26" s="210"/>
      <c r="C26" s="597" t="s">
        <v>147</v>
      </c>
      <c r="D26" s="597"/>
      <c r="E26" s="597"/>
      <c r="F26" s="597"/>
      <c r="G26" s="597"/>
      <c r="H26" s="597"/>
      <c r="I26" s="597"/>
      <c r="J26" s="597"/>
      <c r="K26" s="597"/>
      <c r="L26" s="597"/>
      <c r="M26" s="597"/>
      <c r="N26" s="597"/>
    </row>
  </sheetData>
  <sheetProtection formatCells="0" formatColumns="0" formatRows="0" sort="0" autoFilter="0" pivotTables="0"/>
  <mergeCells count="11">
    <mergeCell ref="C26:N26"/>
    <mergeCell ref="B7:C7"/>
    <mergeCell ref="B11:C11"/>
    <mergeCell ref="B15:C15"/>
    <mergeCell ref="B1:N1"/>
    <mergeCell ref="B2:N2"/>
    <mergeCell ref="B3:N3"/>
    <mergeCell ref="B19:C19"/>
    <mergeCell ref="C22:N22"/>
    <mergeCell ref="C23:N23"/>
    <mergeCell ref="C24:N24"/>
  </mergeCells>
  <pageMargins left="0.7" right="0.7" top="0.25" bottom="0.44" header="0.3" footer="0.3"/>
  <pageSetup scale="71" orientation="landscape" r:id="rId1"/>
  <headerFooter>
    <oddFooter>&amp;LActivision Blizzard, Inc.&amp;R&amp;P of &amp; 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zoomScale="60" zoomScaleNormal="100" workbookViewId="0">
      <selection activeCell="J17" sqref="J17"/>
    </sheetView>
  </sheetViews>
  <sheetFormatPr defaultRowHeight="12"/>
  <cols>
    <col min="1" max="1" width="2.85546875" style="84" customWidth="1"/>
    <col min="2" max="2" width="1.42578125" style="84" customWidth="1"/>
    <col min="3" max="3" width="58.28515625" style="84" customWidth="1"/>
    <col min="4" max="4" width="2.8554687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02" t="s">
        <v>76</v>
      </c>
      <c r="C1" s="602"/>
      <c r="D1" s="602"/>
      <c r="E1" s="602"/>
      <c r="F1" s="602"/>
      <c r="G1" s="602"/>
      <c r="H1" s="602"/>
      <c r="I1" s="602"/>
      <c r="J1" s="602"/>
      <c r="K1" s="602"/>
      <c r="L1" s="602"/>
      <c r="M1" s="602"/>
      <c r="N1" s="602"/>
    </row>
    <row r="2" spans="2:14">
      <c r="B2" s="602" t="s">
        <v>117</v>
      </c>
      <c r="C2" s="602"/>
      <c r="D2" s="602"/>
      <c r="E2" s="602"/>
      <c r="F2" s="602"/>
      <c r="G2" s="602"/>
      <c r="H2" s="602"/>
      <c r="I2" s="602"/>
      <c r="J2" s="602"/>
      <c r="K2" s="602"/>
      <c r="L2" s="602"/>
      <c r="M2" s="602"/>
      <c r="N2" s="602"/>
    </row>
    <row r="3" spans="2:14">
      <c r="B3" s="602" t="s">
        <v>118</v>
      </c>
      <c r="C3" s="602"/>
      <c r="D3" s="602"/>
      <c r="E3" s="602"/>
      <c r="F3" s="602"/>
      <c r="G3" s="602"/>
      <c r="H3" s="602"/>
      <c r="I3" s="602"/>
      <c r="J3" s="602"/>
      <c r="K3" s="602"/>
      <c r="L3" s="602"/>
      <c r="M3" s="602"/>
      <c r="N3" s="602"/>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180" t="s">
        <v>41</v>
      </c>
      <c r="C6" s="181"/>
      <c r="D6" s="182"/>
      <c r="E6" s="91" t="s">
        <v>119</v>
      </c>
      <c r="F6" s="91" t="s">
        <v>120</v>
      </c>
      <c r="G6" s="91" t="s">
        <v>285</v>
      </c>
      <c r="H6" s="91" t="s">
        <v>121</v>
      </c>
      <c r="I6" s="91" t="s">
        <v>122</v>
      </c>
      <c r="J6" s="91" t="s">
        <v>123</v>
      </c>
      <c r="K6" s="91" t="s">
        <v>124</v>
      </c>
      <c r="L6" s="91" t="s">
        <v>125</v>
      </c>
      <c r="M6" s="91" t="s">
        <v>50</v>
      </c>
      <c r="N6" s="92" t="s">
        <v>126</v>
      </c>
    </row>
    <row r="7" spans="2:14">
      <c r="B7" s="598" t="s">
        <v>127</v>
      </c>
      <c r="C7" s="599"/>
      <c r="D7" s="185"/>
      <c r="E7" s="123">
        <v>1449</v>
      </c>
      <c r="F7" s="123">
        <v>299</v>
      </c>
      <c r="G7" s="123">
        <v>63</v>
      </c>
      <c r="H7" s="123">
        <v>61</v>
      </c>
      <c r="I7" s="123">
        <v>29</v>
      </c>
      <c r="J7" s="123">
        <v>142</v>
      </c>
      <c r="K7" s="123">
        <f>64-4</f>
        <v>60</v>
      </c>
      <c r="L7" s="123">
        <f>98+4</f>
        <v>102</v>
      </c>
      <c r="M7" s="123">
        <v>19</v>
      </c>
      <c r="N7" s="186">
        <f>SUM(F7:M7)</f>
        <v>775</v>
      </c>
    </row>
    <row r="8" spans="2:14" ht="12" customHeight="1">
      <c r="B8" s="98"/>
      <c r="C8" s="99" t="s">
        <v>54</v>
      </c>
      <c r="D8" s="122" t="s">
        <v>129</v>
      </c>
      <c r="E8" s="129">
        <v>-694</v>
      </c>
      <c r="F8" s="129">
        <v>-132</v>
      </c>
      <c r="G8" s="135">
        <v>0</v>
      </c>
      <c r="H8" s="129">
        <v>-42</v>
      </c>
      <c r="I8" s="129">
        <v>-14</v>
      </c>
      <c r="J8" s="135">
        <v>0</v>
      </c>
      <c r="K8" s="135">
        <v>0</v>
      </c>
      <c r="L8" s="135">
        <v>0</v>
      </c>
      <c r="M8" s="135">
        <v>0</v>
      </c>
      <c r="N8" s="187">
        <f>SUM(F8:M8)</f>
        <v>-188</v>
      </c>
    </row>
    <row r="9" spans="2:14">
      <c r="B9" s="98"/>
      <c r="C9" s="99" t="s">
        <v>55</v>
      </c>
      <c r="D9" s="122" t="s">
        <v>130</v>
      </c>
      <c r="E9" s="188">
        <v>0</v>
      </c>
      <c r="F9" s="135">
        <v>0</v>
      </c>
      <c r="G9" s="135">
        <v>0</v>
      </c>
      <c r="H9" s="129">
        <v>-4</v>
      </c>
      <c r="I9" s="135">
        <v>0</v>
      </c>
      <c r="J9" s="129">
        <v>-6</v>
      </c>
      <c r="K9" s="129">
        <v>-1</v>
      </c>
      <c r="L9" s="129">
        <v>-12</v>
      </c>
      <c r="M9" s="135">
        <v>0</v>
      </c>
      <c r="N9" s="187">
        <f>SUM(F9:M9)</f>
        <v>-23</v>
      </c>
    </row>
    <row r="10" spans="2:14">
      <c r="B10" s="98"/>
      <c r="C10" s="99" t="s">
        <v>56</v>
      </c>
      <c r="D10" s="122" t="s">
        <v>131</v>
      </c>
      <c r="E10" s="135">
        <v>0</v>
      </c>
      <c r="F10" s="135">
        <v>0</v>
      </c>
      <c r="G10" s="135">
        <v>0</v>
      </c>
      <c r="H10" s="135">
        <v>0</v>
      </c>
      <c r="I10" s="135">
        <v>0</v>
      </c>
      <c r="J10" s="135">
        <v>0</v>
      </c>
      <c r="K10" s="135">
        <v>0</v>
      </c>
      <c r="L10" s="135">
        <v>0</v>
      </c>
      <c r="M10" s="135">
        <v>-19</v>
      </c>
      <c r="N10" s="187">
        <f>SUM(F10:M10)</f>
        <v>-19</v>
      </c>
    </row>
    <row r="11" spans="2:14">
      <c r="B11" s="98"/>
      <c r="C11" s="99" t="s">
        <v>158</v>
      </c>
      <c r="D11" s="122" t="s">
        <v>139</v>
      </c>
      <c r="E11" s="135">
        <v>0</v>
      </c>
      <c r="F11" s="135">
        <v>0</v>
      </c>
      <c r="G11" s="135">
        <v>0</v>
      </c>
      <c r="H11" s="135">
        <v>0</v>
      </c>
      <c r="I11" s="129">
        <v>-8</v>
      </c>
      <c r="J11" s="135">
        <v>0</v>
      </c>
      <c r="K11" s="135">
        <v>0</v>
      </c>
      <c r="L11" s="135">
        <v>0</v>
      </c>
      <c r="M11" s="135">
        <v>0</v>
      </c>
      <c r="N11" s="187">
        <f>SUM(F11:M11)</f>
        <v>-8</v>
      </c>
    </row>
    <row r="12" spans="2:14" ht="12.75" thickBot="1">
      <c r="B12" s="600" t="s">
        <v>133</v>
      </c>
      <c r="C12" s="601"/>
      <c r="D12" s="214"/>
      <c r="E12" s="141">
        <f t="shared" ref="E12:N12" si="0">SUM(E7:E11)</f>
        <v>755</v>
      </c>
      <c r="F12" s="141">
        <f t="shared" si="0"/>
        <v>167</v>
      </c>
      <c r="G12" s="141">
        <f t="shared" si="0"/>
        <v>63</v>
      </c>
      <c r="H12" s="141">
        <f t="shared" si="0"/>
        <v>15</v>
      </c>
      <c r="I12" s="141">
        <f t="shared" si="0"/>
        <v>7</v>
      </c>
      <c r="J12" s="141">
        <f t="shared" si="0"/>
        <v>136</v>
      </c>
      <c r="K12" s="141">
        <f t="shared" si="0"/>
        <v>59</v>
      </c>
      <c r="L12" s="141">
        <f t="shared" si="0"/>
        <v>90</v>
      </c>
      <c r="M12" s="141">
        <f t="shared" si="0"/>
        <v>0</v>
      </c>
      <c r="N12" s="192">
        <f t="shared" si="0"/>
        <v>537</v>
      </c>
    </row>
    <row r="13" spans="2:14" ht="5.25" customHeight="1" thickTop="1" thickBot="1">
      <c r="B13" s="108"/>
      <c r="C13" s="109"/>
      <c r="D13" s="110"/>
      <c r="E13" s="109"/>
      <c r="F13" s="111"/>
      <c r="G13" s="111"/>
      <c r="H13" s="111"/>
      <c r="I13" s="111"/>
      <c r="J13" s="111"/>
      <c r="K13" s="111"/>
      <c r="L13" s="111"/>
      <c r="M13" s="111"/>
      <c r="N13" s="112"/>
    </row>
    <row r="14" spans="2:14" ht="12.75" thickBot="1">
      <c r="B14" s="113"/>
      <c r="C14" s="114"/>
      <c r="D14" s="115"/>
      <c r="E14" s="114"/>
      <c r="F14" s="114"/>
      <c r="G14" s="114"/>
      <c r="H14" s="114"/>
      <c r="I14" s="114"/>
      <c r="J14" s="114"/>
      <c r="K14" s="114"/>
      <c r="L14" s="114"/>
      <c r="M14" s="114"/>
      <c r="N14" s="114"/>
    </row>
    <row r="15" spans="2:14" ht="60">
      <c r="B15" s="199" t="str">
        <f>B6</f>
        <v>Three Months Ended March 31, 2011</v>
      </c>
      <c r="C15" s="200"/>
      <c r="D15" s="116"/>
      <c r="E15" s="117" t="s">
        <v>140</v>
      </c>
      <c r="F15" s="117" t="s">
        <v>141</v>
      </c>
      <c r="G15" s="117" t="s">
        <v>136</v>
      </c>
      <c r="H15" s="118" t="s">
        <v>137</v>
      </c>
      <c r="I15" s="119"/>
      <c r="J15" s="120"/>
      <c r="K15" s="121"/>
      <c r="L15" s="113"/>
      <c r="M15" s="113"/>
      <c r="N15" s="113"/>
    </row>
    <row r="16" spans="2:14">
      <c r="B16" s="598" t="s">
        <v>127</v>
      </c>
      <c r="C16" s="599"/>
      <c r="D16" s="122"/>
      <c r="E16" s="123">
        <f>E7-N7</f>
        <v>674</v>
      </c>
      <c r="F16" s="123">
        <v>503</v>
      </c>
      <c r="G16" s="124">
        <v>0.42</v>
      </c>
      <c r="H16" s="125">
        <v>0.42</v>
      </c>
      <c r="I16" s="126"/>
      <c r="J16" s="127"/>
      <c r="K16" s="121"/>
      <c r="L16" s="113"/>
      <c r="M16" s="113"/>
      <c r="N16" s="113"/>
    </row>
    <row r="17" spans="2:14" ht="12" customHeight="1">
      <c r="B17" s="98"/>
      <c r="C17" s="99" t="s">
        <v>54</v>
      </c>
      <c r="D17" s="122" t="s">
        <v>129</v>
      </c>
      <c r="E17" s="128">
        <f>E8-N8</f>
        <v>-506</v>
      </c>
      <c r="F17" s="129">
        <v>-381</v>
      </c>
      <c r="G17" s="130">
        <v>-0.32</v>
      </c>
      <c r="H17" s="131">
        <v>-0.32</v>
      </c>
      <c r="I17" s="126"/>
      <c r="J17" s="126"/>
      <c r="K17" s="126"/>
      <c r="L17" s="126"/>
      <c r="M17" s="126"/>
      <c r="N17" s="133"/>
    </row>
    <row r="18" spans="2:14">
      <c r="B18" s="98"/>
      <c r="C18" s="99" t="s">
        <v>55</v>
      </c>
      <c r="D18" s="122" t="s">
        <v>130</v>
      </c>
      <c r="E18" s="128">
        <f>E9-N9</f>
        <v>23</v>
      </c>
      <c r="F18" s="129">
        <v>15</v>
      </c>
      <c r="G18" s="130">
        <v>0.01</v>
      </c>
      <c r="H18" s="131">
        <v>0.01</v>
      </c>
      <c r="I18" s="132"/>
      <c r="J18" s="132"/>
      <c r="K18" s="133"/>
      <c r="L18" s="133"/>
      <c r="M18" s="133"/>
      <c r="N18" s="133"/>
    </row>
    <row r="19" spans="2:14">
      <c r="B19" s="98"/>
      <c r="C19" s="99" t="s">
        <v>56</v>
      </c>
      <c r="D19" s="122" t="s">
        <v>131</v>
      </c>
      <c r="E19" s="128">
        <f>E10-N10</f>
        <v>19</v>
      </c>
      <c r="F19" s="129">
        <v>14</v>
      </c>
      <c r="G19" s="130">
        <v>0.01</v>
      </c>
      <c r="H19" s="131">
        <v>0.01</v>
      </c>
      <c r="I19" s="137"/>
      <c r="J19" s="137"/>
      <c r="K19" s="138"/>
      <c r="L19" s="133"/>
      <c r="M19" s="133"/>
      <c r="N19" s="133"/>
    </row>
    <row r="20" spans="2:14">
      <c r="B20" s="98"/>
      <c r="C20" s="99" t="s">
        <v>158</v>
      </c>
      <c r="D20" s="122" t="s">
        <v>139</v>
      </c>
      <c r="E20" s="128">
        <f>E11-N11</f>
        <v>8</v>
      </c>
      <c r="F20" s="129">
        <v>5</v>
      </c>
      <c r="G20" s="215">
        <v>0</v>
      </c>
      <c r="H20" s="136">
        <v>0</v>
      </c>
      <c r="I20" s="137"/>
      <c r="J20" s="137"/>
      <c r="K20" s="138"/>
      <c r="L20" s="133"/>
      <c r="M20" s="133"/>
      <c r="N20" s="133"/>
    </row>
    <row r="21" spans="2:14" ht="12.75" thickBot="1">
      <c r="B21" s="600" t="s">
        <v>133</v>
      </c>
      <c r="C21" s="601"/>
      <c r="D21" s="140"/>
      <c r="E21" s="141">
        <f>SUM(E16:E20)</f>
        <v>218</v>
      </c>
      <c r="F21" s="141">
        <f>SUM(F16:F20)</f>
        <v>156</v>
      </c>
      <c r="G21" s="142">
        <v>0.13</v>
      </c>
      <c r="H21" s="143">
        <v>0.13</v>
      </c>
      <c r="I21" s="144"/>
      <c r="J21" s="114"/>
      <c r="K21" s="114"/>
      <c r="L21" s="114"/>
      <c r="M21" s="114"/>
      <c r="N21" s="114"/>
    </row>
    <row r="22" spans="2:14" ht="5.25" customHeight="1" thickTop="1" thickBot="1">
      <c r="B22" s="145"/>
      <c r="C22" s="146"/>
      <c r="D22" s="147"/>
      <c r="E22" s="148"/>
      <c r="F22" s="148"/>
      <c r="G22" s="148"/>
      <c r="H22" s="149"/>
      <c r="I22" s="113"/>
      <c r="J22" s="114"/>
      <c r="K22" s="114"/>
      <c r="L22" s="114"/>
      <c r="M22" s="114"/>
      <c r="N22" s="114"/>
    </row>
    <row r="23" spans="2:14" ht="12.75" thickBot="1">
      <c r="B23" s="113"/>
      <c r="C23" s="113"/>
      <c r="D23" s="179"/>
      <c r="E23" s="113"/>
      <c r="F23" s="113"/>
      <c r="G23" s="113"/>
      <c r="H23" s="113"/>
      <c r="I23" s="113"/>
      <c r="J23" s="114"/>
      <c r="K23" s="114"/>
      <c r="L23" s="114"/>
      <c r="M23" s="114"/>
      <c r="N23" s="114"/>
    </row>
    <row r="24" spans="2:14" ht="60">
      <c r="B24" s="180" t="s">
        <v>240</v>
      </c>
      <c r="C24" s="181"/>
      <c r="D24" s="182"/>
      <c r="E24" s="91" t="s">
        <v>119</v>
      </c>
      <c r="F24" s="91" t="s">
        <v>120</v>
      </c>
      <c r="G24" s="91" t="s">
        <v>285</v>
      </c>
      <c r="H24" s="91" t="s">
        <v>121</v>
      </c>
      <c r="I24" s="91" t="s">
        <v>122</v>
      </c>
      <c r="J24" s="91" t="s">
        <v>123</v>
      </c>
      <c r="K24" s="91" t="s">
        <v>124</v>
      </c>
      <c r="L24" s="91" t="s">
        <v>125</v>
      </c>
      <c r="M24" s="91" t="s">
        <v>50</v>
      </c>
      <c r="N24" s="92" t="s">
        <v>126</v>
      </c>
    </row>
    <row r="25" spans="2:14">
      <c r="B25" s="598" t="s">
        <v>127</v>
      </c>
      <c r="C25" s="599"/>
      <c r="D25" s="185"/>
      <c r="E25" s="123">
        <v>1146</v>
      </c>
      <c r="F25" s="123">
        <v>213</v>
      </c>
      <c r="G25" s="123">
        <v>59</v>
      </c>
      <c r="H25" s="123">
        <v>47</v>
      </c>
      <c r="I25" s="123">
        <v>24</v>
      </c>
      <c r="J25" s="123">
        <v>116</v>
      </c>
      <c r="K25" s="123">
        <v>90</v>
      </c>
      <c r="L25" s="123">
        <v>127</v>
      </c>
      <c r="M25" s="123">
        <v>3</v>
      </c>
      <c r="N25" s="186">
        <f>SUM(F25:M25)</f>
        <v>679</v>
      </c>
    </row>
    <row r="26" spans="2:14" ht="12" customHeight="1">
      <c r="B26" s="98"/>
      <c r="C26" s="99" t="s">
        <v>54</v>
      </c>
      <c r="D26" s="122" t="s">
        <v>129</v>
      </c>
      <c r="E26" s="129">
        <v>-447</v>
      </c>
      <c r="F26" s="129">
        <v>-78</v>
      </c>
      <c r="G26" s="135">
        <v>0</v>
      </c>
      <c r="H26" s="129">
        <v>-32</v>
      </c>
      <c r="I26" s="129">
        <v>-5</v>
      </c>
      <c r="J26" s="135">
        <v>0</v>
      </c>
      <c r="K26" s="135">
        <v>0</v>
      </c>
      <c r="L26" s="135">
        <v>0</v>
      </c>
      <c r="M26" s="135">
        <v>0</v>
      </c>
      <c r="N26" s="187">
        <f>SUM(F26:M26)</f>
        <v>-115</v>
      </c>
    </row>
    <row r="27" spans="2:14">
      <c r="B27" s="98"/>
      <c r="C27" s="99" t="s">
        <v>55</v>
      </c>
      <c r="D27" s="122" t="s">
        <v>130</v>
      </c>
      <c r="E27" s="188">
        <v>0</v>
      </c>
      <c r="F27" s="135">
        <v>0</v>
      </c>
      <c r="G27" s="135">
        <v>0</v>
      </c>
      <c r="H27" s="129">
        <v>-3</v>
      </c>
      <c r="I27" s="135">
        <v>0</v>
      </c>
      <c r="J27" s="129">
        <v>-5</v>
      </c>
      <c r="K27" s="129">
        <v>-1</v>
      </c>
      <c r="L27" s="129">
        <v>-11</v>
      </c>
      <c r="M27" s="135">
        <v>0</v>
      </c>
      <c r="N27" s="187">
        <f>SUM(F27:M27)</f>
        <v>-20</v>
      </c>
    </row>
    <row r="28" spans="2:14">
      <c r="B28" s="98"/>
      <c r="C28" s="99" t="s">
        <v>56</v>
      </c>
      <c r="D28" s="122" t="s">
        <v>131</v>
      </c>
      <c r="E28" s="135">
        <v>0</v>
      </c>
      <c r="F28" s="135">
        <v>0</v>
      </c>
      <c r="G28" s="135">
        <v>0</v>
      </c>
      <c r="H28" s="135">
        <v>0</v>
      </c>
      <c r="I28" s="135">
        <v>0</v>
      </c>
      <c r="J28" s="135">
        <v>0</v>
      </c>
      <c r="K28" s="135">
        <v>0</v>
      </c>
      <c r="L28" s="135">
        <v>0</v>
      </c>
      <c r="M28" s="135">
        <v>-3</v>
      </c>
      <c r="N28" s="187">
        <f>SUM(F28:M28)</f>
        <v>-3</v>
      </c>
    </row>
    <row r="29" spans="2:14">
      <c r="B29" s="98"/>
      <c r="C29" s="99" t="s">
        <v>158</v>
      </c>
      <c r="D29" s="122" t="s">
        <v>139</v>
      </c>
      <c r="E29" s="135">
        <v>0</v>
      </c>
      <c r="F29" s="135">
        <v>0</v>
      </c>
      <c r="G29" s="135">
        <v>0</v>
      </c>
      <c r="H29" s="135">
        <v>0</v>
      </c>
      <c r="I29" s="129">
        <v>-7</v>
      </c>
      <c r="J29" s="135">
        <v>0</v>
      </c>
      <c r="K29" s="135">
        <v>0</v>
      </c>
      <c r="L29" s="135">
        <v>0</v>
      </c>
      <c r="M29" s="135">
        <v>0</v>
      </c>
      <c r="N29" s="187">
        <f>SUM(F29:M29)</f>
        <v>-7</v>
      </c>
    </row>
    <row r="30" spans="2:14" ht="12.75" thickBot="1">
      <c r="B30" s="600" t="s">
        <v>133</v>
      </c>
      <c r="C30" s="601"/>
      <c r="D30" s="214"/>
      <c r="E30" s="141">
        <f t="shared" ref="E30:N30" si="1">SUM(E25:E29)</f>
        <v>699</v>
      </c>
      <c r="F30" s="141">
        <f t="shared" si="1"/>
        <v>135</v>
      </c>
      <c r="G30" s="141">
        <f t="shared" si="1"/>
        <v>59</v>
      </c>
      <c r="H30" s="141">
        <f t="shared" si="1"/>
        <v>12</v>
      </c>
      <c r="I30" s="141">
        <f t="shared" si="1"/>
        <v>12</v>
      </c>
      <c r="J30" s="141">
        <f t="shared" si="1"/>
        <v>111</v>
      </c>
      <c r="K30" s="141">
        <f t="shared" si="1"/>
        <v>89</v>
      </c>
      <c r="L30" s="141">
        <f t="shared" si="1"/>
        <v>116</v>
      </c>
      <c r="M30" s="141">
        <f t="shared" si="1"/>
        <v>0</v>
      </c>
      <c r="N30" s="192">
        <f t="shared" si="1"/>
        <v>534</v>
      </c>
    </row>
    <row r="31" spans="2:14" ht="5.25" customHeight="1" thickTop="1" thickBot="1">
      <c r="B31" s="108"/>
      <c r="C31" s="109"/>
      <c r="D31" s="110"/>
      <c r="E31" s="109"/>
      <c r="F31" s="111"/>
      <c r="G31" s="111"/>
      <c r="H31" s="111"/>
      <c r="I31" s="111"/>
      <c r="J31" s="111"/>
      <c r="K31" s="111"/>
      <c r="L31" s="111"/>
      <c r="M31" s="111"/>
      <c r="N31" s="112"/>
    </row>
    <row r="32" spans="2:14" ht="12.75" customHeight="1" thickBot="1">
      <c r="B32" s="113"/>
      <c r="C32" s="114"/>
      <c r="D32" s="115"/>
      <c r="E32" s="114"/>
      <c r="F32" s="114"/>
      <c r="G32" s="114"/>
      <c r="H32" s="114"/>
      <c r="I32" s="114"/>
      <c r="J32" s="114"/>
      <c r="K32" s="114"/>
      <c r="L32" s="114"/>
      <c r="M32" s="114"/>
      <c r="N32" s="114"/>
    </row>
    <row r="33" spans="2:14" ht="60">
      <c r="B33" s="199" t="str">
        <f>B24</f>
        <v>Three Months Ended June 30, 2011</v>
      </c>
      <c r="C33" s="200"/>
      <c r="D33" s="116"/>
      <c r="E33" s="117" t="s">
        <v>140</v>
      </c>
      <c r="F33" s="117" t="s">
        <v>141</v>
      </c>
      <c r="G33" s="467" t="s">
        <v>136</v>
      </c>
      <c r="H33" s="468" t="s">
        <v>137</v>
      </c>
      <c r="I33" s="119"/>
      <c r="J33" s="120"/>
      <c r="K33" s="121"/>
      <c r="L33" s="113"/>
      <c r="M33" s="113"/>
      <c r="N33" s="113"/>
    </row>
    <row r="34" spans="2:14">
      <c r="B34" s="598" t="s">
        <v>127</v>
      </c>
      <c r="C34" s="599"/>
      <c r="D34" s="122"/>
      <c r="E34" s="123">
        <f>E25-N25</f>
        <v>467</v>
      </c>
      <c r="F34" s="314">
        <v>335</v>
      </c>
      <c r="G34" s="469">
        <v>0.28999999999999998</v>
      </c>
      <c r="H34" s="470">
        <v>0.28999999999999998</v>
      </c>
      <c r="I34" s="126"/>
      <c r="J34" s="127"/>
      <c r="K34" s="121"/>
      <c r="L34" s="113"/>
      <c r="M34" s="113"/>
      <c r="N34" s="113"/>
    </row>
    <row r="35" spans="2:14" ht="12" customHeight="1">
      <c r="B35" s="98"/>
      <c r="C35" s="99" t="s">
        <v>54</v>
      </c>
      <c r="D35" s="122" t="s">
        <v>129</v>
      </c>
      <c r="E35" s="128">
        <v>-332</v>
      </c>
      <c r="F35" s="316">
        <v>-238</v>
      </c>
      <c r="G35" s="471">
        <v>-0.21</v>
      </c>
      <c r="H35" s="472">
        <v>-0.2</v>
      </c>
      <c r="I35" s="126"/>
      <c r="J35" s="126"/>
      <c r="K35" s="126"/>
      <c r="L35" s="126"/>
      <c r="M35" s="126"/>
      <c r="N35" s="133"/>
    </row>
    <row r="36" spans="2:14">
      <c r="B36" s="98"/>
      <c r="C36" s="99" t="s">
        <v>55</v>
      </c>
      <c r="D36" s="122" t="s">
        <v>130</v>
      </c>
      <c r="E36" s="128">
        <f>E27-N27</f>
        <v>20</v>
      </c>
      <c r="F36" s="316">
        <v>15</v>
      </c>
      <c r="G36" s="471">
        <v>0.01</v>
      </c>
      <c r="H36" s="472">
        <v>0.01</v>
      </c>
      <c r="I36" s="132"/>
      <c r="J36" s="132"/>
      <c r="K36" s="133"/>
      <c r="L36" s="133"/>
      <c r="M36" s="133"/>
      <c r="N36" s="133"/>
    </row>
    <row r="37" spans="2:14">
      <c r="B37" s="98"/>
      <c r="C37" s="99" t="s">
        <v>56</v>
      </c>
      <c r="D37" s="122" t="s">
        <v>131</v>
      </c>
      <c r="E37" s="128">
        <f>E28-N28</f>
        <v>3</v>
      </c>
      <c r="F37" s="316">
        <v>2</v>
      </c>
      <c r="G37" s="473">
        <v>0</v>
      </c>
      <c r="H37" s="474">
        <v>0</v>
      </c>
      <c r="I37" s="137"/>
      <c r="J37" s="137"/>
      <c r="K37" s="138"/>
      <c r="L37" s="133"/>
      <c r="M37" s="133"/>
      <c r="N37" s="133"/>
    </row>
    <row r="38" spans="2:14">
      <c r="B38" s="98"/>
      <c r="C38" s="99" t="s">
        <v>158</v>
      </c>
      <c r="D38" s="122" t="s">
        <v>139</v>
      </c>
      <c r="E38" s="128">
        <f>E29-N29</f>
        <v>7</v>
      </c>
      <c r="F38" s="316">
        <v>4</v>
      </c>
      <c r="G38" s="475">
        <v>0</v>
      </c>
      <c r="H38" s="474">
        <v>0</v>
      </c>
      <c r="I38" s="137"/>
      <c r="J38" s="137"/>
      <c r="K38" s="138"/>
      <c r="L38" s="133"/>
      <c r="M38" s="133"/>
      <c r="N38" s="133"/>
    </row>
    <row r="39" spans="2:14" ht="12.75" thickBot="1">
      <c r="B39" s="600" t="s">
        <v>133</v>
      </c>
      <c r="C39" s="601"/>
      <c r="D39" s="140"/>
      <c r="E39" s="141">
        <f>SUM(E34:E38)</f>
        <v>165</v>
      </c>
      <c r="F39" s="141">
        <f>SUM(F34:F38)</f>
        <v>118</v>
      </c>
      <c r="G39" s="476">
        <v>0.1</v>
      </c>
      <c r="H39" s="477">
        <v>0.1</v>
      </c>
      <c r="I39" s="144"/>
      <c r="J39" s="114"/>
      <c r="K39" s="114"/>
      <c r="L39" s="114"/>
      <c r="M39" s="114"/>
      <c r="N39" s="114"/>
    </row>
    <row r="40" spans="2:14" ht="5.25" customHeight="1" thickTop="1" thickBot="1">
      <c r="B40" s="145"/>
      <c r="C40" s="146"/>
      <c r="D40" s="147"/>
      <c r="E40" s="148"/>
      <c r="F40" s="148"/>
      <c r="G40" s="148"/>
      <c r="H40" s="149"/>
      <c r="I40" s="113"/>
      <c r="J40" s="114"/>
      <c r="K40" s="114"/>
      <c r="L40" s="114"/>
      <c r="M40" s="114"/>
      <c r="N40" s="114"/>
    </row>
    <row r="41" spans="2:14" ht="12.75" customHeight="1" thickBot="1">
      <c r="B41" s="113"/>
      <c r="C41" s="113"/>
      <c r="D41" s="179"/>
      <c r="E41" s="113"/>
      <c r="F41" s="113"/>
      <c r="G41" s="113"/>
      <c r="H41" s="113"/>
      <c r="I41" s="113"/>
      <c r="J41" s="114"/>
      <c r="K41" s="114"/>
      <c r="L41" s="114"/>
      <c r="M41" s="114"/>
      <c r="N41" s="114"/>
    </row>
    <row r="42" spans="2:14" ht="60">
      <c r="B42" s="180" t="s">
        <v>261</v>
      </c>
      <c r="C42" s="181"/>
      <c r="D42" s="182"/>
      <c r="E42" s="91" t="s">
        <v>119</v>
      </c>
      <c r="F42" s="91" t="s">
        <v>120</v>
      </c>
      <c r="G42" s="91" t="s">
        <v>285</v>
      </c>
      <c r="H42" s="91" t="s">
        <v>121</v>
      </c>
      <c r="I42" s="91" t="s">
        <v>122</v>
      </c>
      <c r="J42" s="91" t="s">
        <v>123</v>
      </c>
      <c r="K42" s="91" t="s">
        <v>124</v>
      </c>
      <c r="L42" s="91" t="s">
        <v>125</v>
      </c>
      <c r="M42" s="91" t="s">
        <v>50</v>
      </c>
      <c r="N42" s="92" t="s">
        <v>126</v>
      </c>
    </row>
    <row r="43" spans="2:14">
      <c r="B43" s="598" t="s">
        <v>127</v>
      </c>
      <c r="C43" s="599"/>
      <c r="D43" s="185"/>
      <c r="E43" s="123">
        <v>754</v>
      </c>
      <c r="F43" s="123">
        <v>138</v>
      </c>
      <c r="G43" s="123">
        <v>59</v>
      </c>
      <c r="H43" s="123">
        <v>24</v>
      </c>
      <c r="I43" s="123">
        <v>16</v>
      </c>
      <c r="J43" s="123">
        <v>133</v>
      </c>
      <c r="K43" s="123">
        <v>115</v>
      </c>
      <c r="L43" s="123">
        <v>104</v>
      </c>
      <c r="M43" s="123">
        <v>3</v>
      </c>
      <c r="N43" s="186">
        <f>SUM(F43:M43)</f>
        <v>592</v>
      </c>
    </row>
    <row r="44" spans="2:14" ht="12" customHeight="1">
      <c r="B44" s="98"/>
      <c r="C44" s="99" t="s">
        <v>54</v>
      </c>
      <c r="D44" s="122" t="s">
        <v>129</v>
      </c>
      <c r="E44" s="129">
        <v>-127</v>
      </c>
      <c r="F44" s="129">
        <v>-10</v>
      </c>
      <c r="G44" s="135">
        <v>0</v>
      </c>
      <c r="H44" s="129">
        <v>-10</v>
      </c>
      <c r="I44" s="129">
        <v>-2</v>
      </c>
      <c r="J44" s="135">
        <v>0</v>
      </c>
      <c r="K44" s="135">
        <v>0</v>
      </c>
      <c r="L44" s="135">
        <v>0</v>
      </c>
      <c r="M44" s="135">
        <v>0</v>
      </c>
      <c r="N44" s="187">
        <f>SUM(F44:M44)</f>
        <v>-22</v>
      </c>
    </row>
    <row r="45" spans="2:14">
      <c r="B45" s="98"/>
      <c r="C45" s="99" t="s">
        <v>55</v>
      </c>
      <c r="D45" s="122" t="s">
        <v>130</v>
      </c>
      <c r="E45" s="188">
        <v>0</v>
      </c>
      <c r="F45" s="135">
        <v>0</v>
      </c>
      <c r="G45" s="135">
        <v>0</v>
      </c>
      <c r="H45" s="135">
        <v>0</v>
      </c>
      <c r="I45" s="135">
        <v>0</v>
      </c>
      <c r="J45" s="129">
        <v>-5</v>
      </c>
      <c r="K45" s="129">
        <v>-2</v>
      </c>
      <c r="L45" s="129">
        <v>-11</v>
      </c>
      <c r="M45" s="135">
        <v>0</v>
      </c>
      <c r="N45" s="187">
        <f>SUM(F45:M45)</f>
        <v>-18</v>
      </c>
    </row>
    <row r="46" spans="2:14">
      <c r="B46" s="98"/>
      <c r="C46" s="99" t="s">
        <v>56</v>
      </c>
      <c r="D46" s="122" t="s">
        <v>131</v>
      </c>
      <c r="E46" s="135">
        <v>0</v>
      </c>
      <c r="F46" s="135">
        <v>0</v>
      </c>
      <c r="G46" s="135">
        <v>0</v>
      </c>
      <c r="H46" s="135">
        <v>0</v>
      </c>
      <c r="I46" s="135">
        <v>0</v>
      </c>
      <c r="J46" s="135">
        <v>0</v>
      </c>
      <c r="K46" s="135">
        <v>0</v>
      </c>
      <c r="L46" s="135">
        <v>0</v>
      </c>
      <c r="M46" s="135">
        <v>-3</v>
      </c>
      <c r="N46" s="187">
        <f>SUM(F46:M46)</f>
        <v>-3</v>
      </c>
    </row>
    <row r="47" spans="2:14">
      <c r="B47" s="98"/>
      <c r="C47" s="99" t="s">
        <v>158</v>
      </c>
      <c r="D47" s="122" t="s">
        <v>139</v>
      </c>
      <c r="E47" s="135">
        <v>0</v>
      </c>
      <c r="F47" s="135">
        <v>0</v>
      </c>
      <c r="G47" s="135">
        <v>0</v>
      </c>
      <c r="H47" s="135">
        <v>0</v>
      </c>
      <c r="I47" s="129">
        <v>-7</v>
      </c>
      <c r="J47" s="135">
        <v>0</v>
      </c>
      <c r="K47" s="135">
        <v>0</v>
      </c>
      <c r="L47" s="135">
        <v>0</v>
      </c>
      <c r="M47" s="135">
        <v>0</v>
      </c>
      <c r="N47" s="187">
        <f>SUM(F47:M47)</f>
        <v>-7</v>
      </c>
    </row>
    <row r="48" spans="2:14" ht="12.75" thickBot="1">
      <c r="B48" s="600" t="s">
        <v>133</v>
      </c>
      <c r="C48" s="601"/>
      <c r="D48" s="214"/>
      <c r="E48" s="141">
        <f t="shared" ref="E48:N48" si="2">SUM(E43:E47)</f>
        <v>627</v>
      </c>
      <c r="F48" s="141">
        <f t="shared" si="2"/>
        <v>128</v>
      </c>
      <c r="G48" s="141">
        <f t="shared" si="2"/>
        <v>59</v>
      </c>
      <c r="H48" s="141">
        <f t="shared" si="2"/>
        <v>14</v>
      </c>
      <c r="I48" s="141">
        <f t="shared" si="2"/>
        <v>7</v>
      </c>
      <c r="J48" s="141">
        <f t="shared" si="2"/>
        <v>128</v>
      </c>
      <c r="K48" s="141">
        <f t="shared" si="2"/>
        <v>113</v>
      </c>
      <c r="L48" s="141">
        <f t="shared" si="2"/>
        <v>93</v>
      </c>
      <c r="M48" s="141">
        <f t="shared" si="2"/>
        <v>0</v>
      </c>
      <c r="N48" s="192">
        <f t="shared" si="2"/>
        <v>542</v>
      </c>
    </row>
    <row r="49" spans="2:14" ht="5.25" customHeight="1" thickTop="1" thickBot="1">
      <c r="B49" s="108"/>
      <c r="C49" s="109"/>
      <c r="D49" s="110"/>
      <c r="E49" s="109"/>
      <c r="F49" s="111"/>
      <c r="G49" s="111"/>
      <c r="H49" s="111"/>
      <c r="I49" s="111"/>
      <c r="J49" s="111"/>
      <c r="K49" s="111"/>
      <c r="L49" s="111"/>
      <c r="M49" s="111"/>
      <c r="N49" s="112"/>
    </row>
    <row r="50" spans="2:14" ht="12.75" customHeight="1" thickBot="1">
      <c r="B50" s="113"/>
      <c r="C50" s="114"/>
      <c r="D50" s="115"/>
      <c r="E50" s="114"/>
      <c r="F50" s="114"/>
      <c r="G50" s="114"/>
      <c r="H50" s="114"/>
      <c r="I50" s="114"/>
      <c r="J50" s="114"/>
      <c r="K50" s="114"/>
      <c r="L50" s="114"/>
      <c r="M50" s="114"/>
      <c r="N50" s="114"/>
    </row>
    <row r="51" spans="2:14" ht="60">
      <c r="B51" s="199" t="str">
        <f>B42</f>
        <v>Three Months Ended September 30, 2011</v>
      </c>
      <c r="C51" s="200"/>
      <c r="D51" s="116"/>
      <c r="E51" s="117" t="s">
        <v>140</v>
      </c>
      <c r="F51" s="117" t="s">
        <v>141</v>
      </c>
      <c r="G51" s="467" t="s">
        <v>136</v>
      </c>
      <c r="H51" s="468" t="s">
        <v>137</v>
      </c>
      <c r="I51" s="119"/>
      <c r="J51" s="120"/>
      <c r="K51" s="121"/>
      <c r="L51" s="113"/>
      <c r="M51" s="113"/>
      <c r="N51" s="113"/>
    </row>
    <row r="52" spans="2:14">
      <c r="B52" s="598" t="s">
        <v>127</v>
      </c>
      <c r="C52" s="599"/>
      <c r="D52" s="122"/>
      <c r="E52" s="123">
        <f>E43-N43</f>
        <v>162</v>
      </c>
      <c r="F52" s="314">
        <v>148</v>
      </c>
      <c r="G52" s="469">
        <v>0.13</v>
      </c>
      <c r="H52" s="470">
        <v>0.13</v>
      </c>
      <c r="I52" s="126"/>
      <c r="J52" s="127"/>
      <c r="K52" s="121"/>
      <c r="L52" s="113"/>
      <c r="M52" s="113"/>
      <c r="N52" s="113"/>
    </row>
    <row r="53" spans="2:14" ht="12" customHeight="1">
      <c r="B53" s="98"/>
      <c r="C53" s="99" t="s">
        <v>54</v>
      </c>
      <c r="D53" s="122" t="s">
        <v>129</v>
      </c>
      <c r="E53" s="128">
        <f>E44-N44</f>
        <v>-105</v>
      </c>
      <c r="F53" s="316">
        <v>-81</v>
      </c>
      <c r="G53" s="471">
        <v>-7.0000000000000007E-2</v>
      </c>
      <c r="H53" s="472">
        <v>-7.0000000000000007E-2</v>
      </c>
      <c r="I53" s="126"/>
      <c r="J53" s="126"/>
      <c r="K53" s="126"/>
      <c r="L53" s="126"/>
      <c r="M53" s="126"/>
      <c r="N53" s="133"/>
    </row>
    <row r="54" spans="2:14">
      <c r="B54" s="98"/>
      <c r="C54" s="99" t="s">
        <v>55</v>
      </c>
      <c r="D54" s="122" t="s">
        <v>130</v>
      </c>
      <c r="E54" s="128">
        <f>E45-N45</f>
        <v>18</v>
      </c>
      <c r="F54" s="316">
        <v>13</v>
      </c>
      <c r="G54" s="471">
        <v>0.01</v>
      </c>
      <c r="H54" s="472">
        <v>0.01</v>
      </c>
      <c r="I54" s="132"/>
      <c r="J54" s="132"/>
      <c r="K54" s="133"/>
      <c r="L54" s="133"/>
      <c r="M54" s="133"/>
      <c r="N54" s="133"/>
    </row>
    <row r="55" spans="2:14">
      <c r="B55" s="98"/>
      <c r="C55" s="99" t="s">
        <v>56</v>
      </c>
      <c r="D55" s="122" t="s">
        <v>131</v>
      </c>
      <c r="E55" s="128">
        <f>E46-N46</f>
        <v>3</v>
      </c>
      <c r="F55" s="316">
        <v>2</v>
      </c>
      <c r="G55" s="473">
        <v>0</v>
      </c>
      <c r="H55" s="474">
        <v>0</v>
      </c>
      <c r="I55" s="137"/>
      <c r="J55" s="137"/>
      <c r="K55" s="138"/>
      <c r="L55" s="133"/>
      <c r="M55" s="133"/>
      <c r="N55" s="133"/>
    </row>
    <row r="56" spans="2:14">
      <c r="B56" s="98"/>
      <c r="C56" s="99" t="s">
        <v>158</v>
      </c>
      <c r="D56" s="122" t="s">
        <v>139</v>
      </c>
      <c r="E56" s="128">
        <f>E47-N47</f>
        <v>7</v>
      </c>
      <c r="F56" s="316">
        <v>5</v>
      </c>
      <c r="G56" s="475">
        <v>0</v>
      </c>
      <c r="H56" s="474">
        <v>0</v>
      </c>
      <c r="I56" s="137"/>
      <c r="J56" s="137"/>
      <c r="K56" s="138"/>
      <c r="L56" s="133"/>
      <c r="M56" s="133"/>
      <c r="N56" s="133"/>
    </row>
    <row r="57" spans="2:14" ht="12.75" thickBot="1">
      <c r="B57" s="600" t="s">
        <v>133</v>
      </c>
      <c r="C57" s="601"/>
      <c r="D57" s="140"/>
      <c r="E57" s="141">
        <f>SUM(E52:E56)</f>
        <v>85</v>
      </c>
      <c r="F57" s="141">
        <f>SUM(F52:F56)</f>
        <v>87</v>
      </c>
      <c r="G57" s="476">
        <v>7.0000000000000007E-2</v>
      </c>
      <c r="H57" s="477">
        <v>7.0000000000000007E-2</v>
      </c>
      <c r="I57" s="144"/>
      <c r="J57" s="114"/>
      <c r="K57" s="114"/>
      <c r="L57" s="114"/>
      <c r="M57" s="114"/>
      <c r="N57" s="114"/>
    </row>
    <row r="58" spans="2:14" ht="5.25" customHeight="1" thickTop="1" thickBot="1">
      <c r="B58" s="145"/>
      <c r="C58" s="146"/>
      <c r="D58" s="147"/>
      <c r="E58" s="148"/>
      <c r="F58" s="148"/>
      <c r="G58" s="148"/>
      <c r="H58" s="149"/>
      <c r="I58" s="113"/>
      <c r="J58" s="114"/>
      <c r="K58" s="114"/>
      <c r="L58" s="114"/>
      <c r="M58" s="114"/>
      <c r="N58" s="114"/>
    </row>
    <row r="59" spans="2:14" ht="12.75" customHeight="1" thickBot="1">
      <c r="B59" s="113"/>
      <c r="C59" s="113"/>
      <c r="D59" s="179"/>
      <c r="E59" s="113"/>
      <c r="F59" s="113"/>
      <c r="G59" s="113"/>
      <c r="H59" s="113"/>
      <c r="I59" s="113"/>
      <c r="J59" s="114"/>
      <c r="K59" s="114"/>
      <c r="L59" s="114"/>
      <c r="M59" s="114"/>
      <c r="N59" s="114"/>
    </row>
    <row r="60" spans="2:14" ht="60">
      <c r="B60" s="180" t="s">
        <v>275</v>
      </c>
      <c r="C60" s="181"/>
      <c r="D60" s="182"/>
      <c r="E60" s="91" t="s">
        <v>119</v>
      </c>
      <c r="F60" s="91" t="s">
        <v>120</v>
      </c>
      <c r="G60" s="91" t="s">
        <v>285</v>
      </c>
      <c r="H60" s="91" t="s">
        <v>121</v>
      </c>
      <c r="I60" s="91" t="s">
        <v>122</v>
      </c>
      <c r="J60" s="91" t="s">
        <v>123</v>
      </c>
      <c r="K60" s="91" t="s">
        <v>124</v>
      </c>
      <c r="L60" s="91" t="s">
        <v>125</v>
      </c>
      <c r="M60" s="91" t="s">
        <v>50</v>
      </c>
      <c r="N60" s="92" t="s">
        <v>126</v>
      </c>
    </row>
    <row r="61" spans="2:14">
      <c r="B61" s="598" t="s">
        <v>127</v>
      </c>
      <c r="C61" s="599"/>
      <c r="D61" s="185"/>
      <c r="E61" s="123">
        <v>1407</v>
      </c>
      <c r="F61" s="123">
        <v>483</v>
      </c>
      <c r="G61" s="123">
        <v>58</v>
      </c>
      <c r="H61" s="123">
        <v>85</v>
      </c>
      <c r="I61" s="123">
        <v>96</v>
      </c>
      <c r="J61" s="123">
        <v>256</v>
      </c>
      <c r="K61" s="123">
        <v>281</v>
      </c>
      <c r="L61" s="123">
        <v>122</v>
      </c>
      <c r="M61" s="123">
        <v>1</v>
      </c>
      <c r="N61" s="186">
        <f t="shared" ref="N61:N66" si="3">SUM(F61:M61)</f>
        <v>1382</v>
      </c>
    </row>
    <row r="62" spans="2:14" ht="12" customHeight="1">
      <c r="B62" s="98"/>
      <c r="C62" s="99" t="s">
        <v>54</v>
      </c>
      <c r="D62" s="122" t="s">
        <v>129</v>
      </c>
      <c r="E62" s="129">
        <v>1001</v>
      </c>
      <c r="F62" s="129">
        <v>209</v>
      </c>
      <c r="G62" s="135">
        <v>0</v>
      </c>
      <c r="H62" s="129">
        <v>37</v>
      </c>
      <c r="I62" s="129">
        <v>-3</v>
      </c>
      <c r="J62" s="135">
        <v>0</v>
      </c>
      <c r="K62" s="135">
        <v>0</v>
      </c>
      <c r="L62" s="135">
        <v>0</v>
      </c>
      <c r="M62" s="135">
        <v>0</v>
      </c>
      <c r="N62" s="187">
        <f t="shared" si="3"/>
        <v>243</v>
      </c>
    </row>
    <row r="63" spans="2:14">
      <c r="B63" s="98"/>
      <c r="C63" s="99" t="s">
        <v>55</v>
      </c>
      <c r="D63" s="122" t="s">
        <v>130</v>
      </c>
      <c r="E63" s="188">
        <v>0</v>
      </c>
      <c r="F63" s="135">
        <v>0</v>
      </c>
      <c r="G63" s="135">
        <v>0</v>
      </c>
      <c r="H63" s="135">
        <v>-3</v>
      </c>
      <c r="I63" s="135">
        <v>0</v>
      </c>
      <c r="J63" s="129">
        <v>-25</v>
      </c>
      <c r="K63" s="129">
        <v>-2</v>
      </c>
      <c r="L63" s="129">
        <v>-13</v>
      </c>
      <c r="M63" s="135">
        <v>0</v>
      </c>
      <c r="N63" s="187">
        <f t="shared" si="3"/>
        <v>-43</v>
      </c>
    </row>
    <row r="64" spans="2:14">
      <c r="B64" s="98"/>
      <c r="C64" s="99" t="s">
        <v>56</v>
      </c>
      <c r="D64" s="122" t="s">
        <v>131</v>
      </c>
      <c r="E64" s="135">
        <v>0</v>
      </c>
      <c r="F64" s="135">
        <v>0</v>
      </c>
      <c r="G64" s="135">
        <v>0</v>
      </c>
      <c r="H64" s="135">
        <v>0</v>
      </c>
      <c r="I64" s="135">
        <v>0</v>
      </c>
      <c r="J64" s="135">
        <v>0</v>
      </c>
      <c r="K64" s="135">
        <v>0</v>
      </c>
      <c r="L64" s="135">
        <v>-1</v>
      </c>
      <c r="M64" s="135">
        <v>-1</v>
      </c>
      <c r="N64" s="187">
        <f t="shared" si="3"/>
        <v>-2</v>
      </c>
    </row>
    <row r="65" spans="2:14">
      <c r="B65" s="98"/>
      <c r="C65" s="99" t="s">
        <v>158</v>
      </c>
      <c r="D65" s="122" t="s">
        <v>139</v>
      </c>
      <c r="E65" s="135">
        <v>0</v>
      </c>
      <c r="F65" s="135">
        <v>-2</v>
      </c>
      <c r="G65" s="135">
        <v>0</v>
      </c>
      <c r="H65" s="135">
        <v>0</v>
      </c>
      <c r="I65" s="129">
        <v>-48</v>
      </c>
      <c r="J65" s="135">
        <v>0</v>
      </c>
      <c r="K65" s="135">
        <v>0</v>
      </c>
      <c r="L65" s="135">
        <v>0</v>
      </c>
      <c r="M65" s="135">
        <v>0</v>
      </c>
      <c r="N65" s="187">
        <f t="shared" si="3"/>
        <v>-50</v>
      </c>
    </row>
    <row r="66" spans="2:14">
      <c r="B66" s="98"/>
      <c r="C66" s="99" t="s">
        <v>276</v>
      </c>
      <c r="D66" s="122" t="s">
        <v>132</v>
      </c>
      <c r="E66" s="135">
        <v>0</v>
      </c>
      <c r="F66" s="135">
        <v>0</v>
      </c>
      <c r="G66" s="135">
        <v>0</v>
      </c>
      <c r="H66" s="135">
        <v>0</v>
      </c>
      <c r="I66" s="129">
        <v>0</v>
      </c>
      <c r="J66" s="135">
        <v>0</v>
      </c>
      <c r="K66" s="135">
        <v>0</v>
      </c>
      <c r="L66" s="135">
        <v>-12</v>
      </c>
      <c r="M66" s="135">
        <v>0</v>
      </c>
      <c r="N66" s="187">
        <f t="shared" si="3"/>
        <v>-12</v>
      </c>
    </row>
    <row r="67" spans="2:14" ht="12.75" thickBot="1">
      <c r="B67" s="600" t="s">
        <v>133</v>
      </c>
      <c r="C67" s="601"/>
      <c r="D67" s="214"/>
      <c r="E67" s="141">
        <f t="shared" ref="E67:N67" si="4">SUM(E61:E66)</f>
        <v>2408</v>
      </c>
      <c r="F67" s="141">
        <f t="shared" si="4"/>
        <v>690</v>
      </c>
      <c r="G67" s="141">
        <f t="shared" si="4"/>
        <v>58</v>
      </c>
      <c r="H67" s="141">
        <f t="shared" si="4"/>
        <v>119</v>
      </c>
      <c r="I67" s="141">
        <f t="shared" si="4"/>
        <v>45</v>
      </c>
      <c r="J67" s="141">
        <f t="shared" si="4"/>
        <v>231</v>
      </c>
      <c r="K67" s="141">
        <f t="shared" si="4"/>
        <v>279</v>
      </c>
      <c r="L67" s="141">
        <f t="shared" si="4"/>
        <v>96</v>
      </c>
      <c r="M67" s="141">
        <f t="shared" si="4"/>
        <v>0</v>
      </c>
      <c r="N67" s="192">
        <f t="shared" si="4"/>
        <v>1518</v>
      </c>
    </row>
    <row r="68" spans="2:14" ht="5.25" customHeight="1" thickTop="1" thickBot="1">
      <c r="B68" s="108"/>
      <c r="C68" s="109"/>
      <c r="D68" s="110"/>
      <c r="E68" s="109"/>
      <c r="F68" s="111"/>
      <c r="G68" s="111"/>
      <c r="H68" s="111"/>
      <c r="I68" s="111"/>
      <c r="J68" s="111"/>
      <c r="K68" s="111"/>
      <c r="L68" s="111"/>
      <c r="M68" s="111"/>
      <c r="N68" s="112"/>
    </row>
    <row r="69" spans="2:14" ht="12.75" customHeight="1" thickBot="1">
      <c r="B69" s="113"/>
      <c r="C69" s="114"/>
      <c r="D69" s="115"/>
      <c r="E69" s="114"/>
      <c r="F69" s="114"/>
      <c r="G69" s="114"/>
      <c r="H69" s="114"/>
      <c r="I69" s="114"/>
      <c r="J69" s="114"/>
      <c r="K69" s="114"/>
      <c r="L69" s="114"/>
      <c r="M69" s="114"/>
      <c r="N69" s="114"/>
    </row>
    <row r="70" spans="2:14" ht="48">
      <c r="B70" s="199" t="str">
        <f>B60</f>
        <v>Three Months Ended December 31, 2011</v>
      </c>
      <c r="C70" s="200"/>
      <c r="D70" s="116"/>
      <c r="E70" s="117" t="s">
        <v>140</v>
      </c>
      <c r="F70" s="117" t="s">
        <v>141</v>
      </c>
      <c r="G70" s="467" t="s">
        <v>142</v>
      </c>
      <c r="H70" s="468" t="s">
        <v>143</v>
      </c>
      <c r="I70" s="119"/>
      <c r="J70" s="120"/>
      <c r="K70" s="121"/>
      <c r="L70" s="113"/>
      <c r="M70" s="113"/>
      <c r="N70" s="113"/>
    </row>
    <row r="71" spans="2:14">
      <c r="B71" s="598" t="s">
        <v>127</v>
      </c>
      <c r="C71" s="599"/>
      <c r="D71" s="122"/>
      <c r="E71" s="123">
        <f t="shared" ref="E71:E76" si="5">E61-N61</f>
        <v>25</v>
      </c>
      <c r="F71" s="314">
        <v>99</v>
      </c>
      <c r="G71" s="469">
        <v>0.09</v>
      </c>
      <c r="H71" s="470">
        <v>0.08</v>
      </c>
      <c r="I71" s="126"/>
      <c r="J71" s="127"/>
      <c r="K71" s="121"/>
      <c r="L71" s="113"/>
      <c r="M71" s="113"/>
      <c r="N71" s="113"/>
    </row>
    <row r="72" spans="2:14" ht="12" customHeight="1">
      <c r="B72" s="98"/>
      <c r="C72" s="99" t="s">
        <v>54</v>
      </c>
      <c r="D72" s="122" t="s">
        <v>129</v>
      </c>
      <c r="E72" s="128">
        <f t="shared" si="5"/>
        <v>758</v>
      </c>
      <c r="F72" s="316">
        <v>549</v>
      </c>
      <c r="G72" s="471">
        <v>0.47</v>
      </c>
      <c r="H72" s="472">
        <v>0.47</v>
      </c>
      <c r="I72" s="126"/>
      <c r="J72" s="126"/>
      <c r="K72" s="126"/>
      <c r="L72" s="126"/>
      <c r="M72" s="126"/>
      <c r="N72" s="133"/>
    </row>
    <row r="73" spans="2:14">
      <c r="B73" s="98"/>
      <c r="C73" s="99" t="s">
        <v>55</v>
      </c>
      <c r="D73" s="122" t="s">
        <v>130</v>
      </c>
      <c r="E73" s="128">
        <f t="shared" si="5"/>
        <v>43</v>
      </c>
      <c r="F73" s="316">
        <v>33</v>
      </c>
      <c r="G73" s="471">
        <v>0.03</v>
      </c>
      <c r="H73" s="472">
        <v>0.03</v>
      </c>
      <c r="I73" s="132"/>
      <c r="J73" s="132"/>
      <c r="K73" s="133"/>
      <c r="L73" s="133"/>
      <c r="M73" s="133"/>
      <c r="N73" s="133"/>
    </row>
    <row r="74" spans="2:14">
      <c r="B74" s="98"/>
      <c r="C74" s="99" t="s">
        <v>56</v>
      </c>
      <c r="D74" s="122" t="s">
        <v>131</v>
      </c>
      <c r="E74" s="128">
        <f t="shared" si="5"/>
        <v>2</v>
      </c>
      <c r="F74" s="316">
        <v>1</v>
      </c>
      <c r="G74" s="473">
        <v>0</v>
      </c>
      <c r="H74" s="474">
        <v>0</v>
      </c>
      <c r="I74" s="137"/>
      <c r="J74" s="137"/>
      <c r="K74" s="138"/>
      <c r="L74" s="133"/>
      <c r="M74" s="133"/>
      <c r="N74" s="133"/>
    </row>
    <row r="75" spans="2:14">
      <c r="B75" s="98"/>
      <c r="C75" s="99" t="s">
        <v>158</v>
      </c>
      <c r="D75" s="122" t="s">
        <v>139</v>
      </c>
      <c r="E75" s="128">
        <f t="shared" si="5"/>
        <v>50</v>
      </c>
      <c r="F75" s="316">
        <v>31</v>
      </c>
      <c r="G75" s="471">
        <v>0.03</v>
      </c>
      <c r="H75" s="472">
        <v>0.03</v>
      </c>
      <c r="I75" s="137"/>
      <c r="J75" s="137"/>
      <c r="K75" s="138"/>
      <c r="L75" s="133"/>
      <c r="M75" s="133"/>
      <c r="N75" s="133"/>
    </row>
    <row r="76" spans="2:14">
      <c r="B76" s="98"/>
      <c r="C76" s="99" t="s">
        <v>276</v>
      </c>
      <c r="D76" s="122" t="s">
        <v>132</v>
      </c>
      <c r="E76" s="128">
        <f t="shared" si="5"/>
        <v>12</v>
      </c>
      <c r="F76" s="316">
        <v>12</v>
      </c>
      <c r="G76" s="573">
        <v>0.01</v>
      </c>
      <c r="H76" s="574">
        <v>0.01</v>
      </c>
      <c r="I76" s="137"/>
      <c r="J76" s="137"/>
      <c r="K76" s="138"/>
      <c r="L76" s="133"/>
      <c r="M76" s="133"/>
      <c r="N76" s="133"/>
    </row>
    <row r="77" spans="2:14" ht="12.75" thickBot="1">
      <c r="B77" s="600" t="s">
        <v>133</v>
      </c>
      <c r="C77" s="601"/>
      <c r="D77" s="140"/>
      <c r="E77" s="141">
        <f>SUM(E71:E76)</f>
        <v>890</v>
      </c>
      <c r="F77" s="141">
        <f>SUM(F71:F76)</f>
        <v>725</v>
      </c>
      <c r="G77" s="476">
        <v>0.63</v>
      </c>
      <c r="H77" s="477">
        <v>0.62</v>
      </c>
      <c r="I77" s="144"/>
      <c r="J77" s="114"/>
      <c r="K77" s="114"/>
      <c r="L77" s="114"/>
      <c r="M77" s="114"/>
      <c r="N77" s="114"/>
    </row>
    <row r="78" spans="2:14" ht="5.25" customHeight="1" thickTop="1" thickBot="1">
      <c r="B78" s="145"/>
      <c r="C78" s="146"/>
      <c r="D78" s="147"/>
      <c r="E78" s="148"/>
      <c r="F78" s="148"/>
      <c r="G78" s="148"/>
      <c r="H78" s="149"/>
      <c r="I78" s="113"/>
      <c r="J78" s="114"/>
      <c r="K78" s="114"/>
      <c r="L78" s="114"/>
      <c r="M78" s="114"/>
      <c r="N78" s="114"/>
    </row>
    <row r="79" spans="2:14">
      <c r="B79" s="113"/>
      <c r="C79" s="113"/>
      <c r="D79" s="179"/>
      <c r="E79" s="113"/>
      <c r="F79" s="113"/>
      <c r="G79" s="113"/>
      <c r="H79" s="113"/>
      <c r="I79" s="113"/>
      <c r="J79" s="114"/>
      <c r="K79" s="114"/>
      <c r="L79" s="114"/>
      <c r="M79" s="114"/>
      <c r="N79" s="114"/>
    </row>
    <row r="80" spans="2:14">
      <c r="B80" s="209"/>
      <c r="C80" s="603" t="s">
        <v>144</v>
      </c>
      <c r="D80" s="603"/>
      <c r="E80" s="603"/>
      <c r="F80" s="603"/>
      <c r="G80" s="603"/>
      <c r="H80" s="603"/>
      <c r="I80" s="603"/>
      <c r="J80" s="603"/>
      <c r="K80" s="603"/>
      <c r="L80" s="603"/>
      <c r="M80" s="603"/>
      <c r="N80" s="603"/>
    </row>
    <row r="81" spans="2:14">
      <c r="B81" s="209"/>
      <c r="C81" s="604" t="s">
        <v>145</v>
      </c>
      <c r="D81" s="604"/>
      <c r="E81" s="604"/>
      <c r="F81" s="604"/>
      <c r="G81" s="604"/>
      <c r="H81" s="604"/>
      <c r="I81" s="604"/>
      <c r="J81" s="604"/>
      <c r="K81" s="604"/>
      <c r="L81" s="604"/>
      <c r="M81" s="604"/>
      <c r="N81" s="604"/>
    </row>
    <row r="82" spans="2:14">
      <c r="B82" s="209"/>
      <c r="C82" s="604" t="s">
        <v>146</v>
      </c>
      <c r="D82" s="604"/>
      <c r="E82" s="604"/>
      <c r="F82" s="604"/>
      <c r="G82" s="604"/>
      <c r="H82" s="604"/>
      <c r="I82" s="604"/>
      <c r="J82" s="604"/>
      <c r="K82" s="604"/>
      <c r="L82" s="604"/>
      <c r="M82" s="604"/>
      <c r="N82" s="604"/>
    </row>
    <row r="83" spans="2:14">
      <c r="B83" s="210"/>
      <c r="C83" s="603" t="s">
        <v>210</v>
      </c>
      <c r="D83" s="603"/>
      <c r="E83" s="603"/>
      <c r="F83" s="603"/>
      <c r="G83" s="603"/>
      <c r="H83" s="603"/>
      <c r="I83" s="603"/>
      <c r="J83" s="603"/>
      <c r="K83" s="603"/>
      <c r="L83" s="603"/>
      <c r="M83" s="603"/>
      <c r="N83" s="603"/>
    </row>
    <row r="84" spans="2:14">
      <c r="B84" s="210"/>
      <c r="C84" s="558" t="s">
        <v>277</v>
      </c>
      <c r="D84" s="558"/>
      <c r="E84" s="558"/>
      <c r="F84" s="558"/>
      <c r="G84" s="558"/>
      <c r="H84" s="558"/>
      <c r="I84" s="558"/>
      <c r="J84" s="558"/>
      <c r="K84" s="558"/>
      <c r="L84" s="558"/>
      <c r="M84" s="558"/>
      <c r="N84" s="558"/>
    </row>
    <row r="85" spans="2:14">
      <c r="B85" s="210"/>
      <c r="C85" s="211"/>
      <c r="D85" s="216"/>
      <c r="E85" s="216"/>
      <c r="F85" s="216"/>
      <c r="G85" s="216"/>
      <c r="H85" s="216"/>
      <c r="I85" s="216"/>
      <c r="J85" s="216"/>
      <c r="K85" s="216"/>
      <c r="L85" s="216"/>
      <c r="M85" s="216"/>
      <c r="N85" s="216"/>
    </row>
    <row r="86" spans="2:14">
      <c r="B86" s="210"/>
      <c r="C86" s="597" t="s">
        <v>147</v>
      </c>
      <c r="D86" s="597"/>
      <c r="E86" s="597"/>
      <c r="F86" s="597"/>
      <c r="G86" s="597"/>
      <c r="H86" s="597"/>
      <c r="I86" s="597"/>
      <c r="J86" s="597"/>
      <c r="K86" s="597"/>
      <c r="L86" s="597"/>
      <c r="M86" s="597"/>
      <c r="N86" s="597"/>
    </row>
  </sheetData>
  <sheetProtection formatCells="0" formatColumns="0" formatRows="0" sort="0" autoFilter="0" pivotTables="0"/>
  <mergeCells count="24">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 ref="B7:C7"/>
    <mergeCell ref="B12:C12"/>
    <mergeCell ref="B1:N1"/>
    <mergeCell ref="B2:N2"/>
    <mergeCell ref="B3:N3"/>
    <mergeCell ref="B25:C25"/>
    <mergeCell ref="B30:C30"/>
    <mergeCell ref="B34:C34"/>
    <mergeCell ref="B16:C16"/>
    <mergeCell ref="B21:C21"/>
  </mergeCells>
  <pageMargins left="0.7" right="0.7" top="0.25" bottom="0.44" header="0.3" footer="0.3"/>
  <pageSetup scale="52" orientation="portrait" r:id="rId1"/>
  <headerFooter>
    <oddFooter>&amp;LActivision Blizzard, Inc.&amp;R&amp;P of &amp; 17</oddFooter>
  </headerFooter>
  <rowBreaks count="1" manualBreakCount="1">
    <brk id="41" min="1"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9"/>
  <sheetViews>
    <sheetView view="pageBreakPreview" zoomScale="60" zoomScaleNormal="100" workbookViewId="0">
      <selection activeCell="J17" sqref="J17"/>
    </sheetView>
  </sheetViews>
  <sheetFormatPr defaultRowHeight="12"/>
  <cols>
    <col min="1" max="1" width="2.85546875" style="84" customWidth="1"/>
    <col min="2" max="2" width="1.42578125" style="84" customWidth="1"/>
    <col min="3" max="3" width="57.140625" style="84" customWidth="1"/>
    <col min="4" max="4" width="4.42578125" style="84" bestFit="1" customWidth="1"/>
    <col min="5" max="5" width="10.85546875" style="84" customWidth="1"/>
    <col min="6" max="7" width="8.5703125" style="84" customWidth="1"/>
    <col min="8" max="8" width="12.42578125" style="84" customWidth="1"/>
    <col min="9" max="9" width="10.5703125" style="84" customWidth="1"/>
    <col min="10" max="10" width="12.28515625" style="84" customWidth="1"/>
    <col min="11" max="11" width="10" style="84" customWidth="1"/>
    <col min="12" max="14" width="13" style="84" customWidth="1"/>
    <col min="15" max="16384" width="9.140625" style="84"/>
  </cols>
  <sheetData>
    <row r="1" spans="2:14">
      <c r="B1" s="602" t="s">
        <v>76</v>
      </c>
      <c r="C1" s="602"/>
      <c r="D1" s="602"/>
      <c r="E1" s="602"/>
      <c r="F1" s="602"/>
      <c r="G1" s="602"/>
      <c r="H1" s="602"/>
      <c r="I1" s="602"/>
      <c r="J1" s="602"/>
      <c r="K1" s="602"/>
      <c r="L1" s="602"/>
      <c r="M1" s="602"/>
      <c r="N1" s="602"/>
    </row>
    <row r="2" spans="2:14">
      <c r="B2" s="602" t="s">
        <v>117</v>
      </c>
      <c r="C2" s="602"/>
      <c r="D2" s="602"/>
      <c r="E2" s="602"/>
      <c r="F2" s="602"/>
      <c r="G2" s="602"/>
      <c r="H2" s="602"/>
      <c r="I2" s="602"/>
      <c r="J2" s="602"/>
      <c r="K2" s="602"/>
      <c r="L2" s="602"/>
      <c r="M2" s="602"/>
      <c r="N2" s="602"/>
    </row>
    <row r="3" spans="2:14">
      <c r="B3" s="602" t="s">
        <v>118</v>
      </c>
      <c r="C3" s="602"/>
      <c r="D3" s="602"/>
      <c r="E3" s="602"/>
      <c r="F3" s="602"/>
      <c r="G3" s="602"/>
      <c r="H3" s="602"/>
      <c r="I3" s="602"/>
      <c r="J3" s="602"/>
      <c r="K3" s="602"/>
      <c r="L3" s="602"/>
      <c r="M3" s="602"/>
      <c r="N3" s="602"/>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605" t="s">
        <v>25</v>
      </c>
      <c r="C6" s="606"/>
      <c r="D6" s="90"/>
      <c r="E6" s="91" t="s">
        <v>119</v>
      </c>
      <c r="F6" s="91" t="s">
        <v>120</v>
      </c>
      <c r="G6" s="91" t="s">
        <v>285</v>
      </c>
      <c r="H6" s="91" t="s">
        <v>121</v>
      </c>
      <c r="I6" s="91" t="s">
        <v>122</v>
      </c>
      <c r="J6" s="91" t="s">
        <v>123</v>
      </c>
      <c r="K6" s="91" t="s">
        <v>124</v>
      </c>
      <c r="L6" s="91" t="s">
        <v>125</v>
      </c>
      <c r="M6" s="92" t="s">
        <v>126</v>
      </c>
      <c r="N6" s="93"/>
    </row>
    <row r="7" spans="2:14">
      <c r="B7" s="607" t="s">
        <v>127</v>
      </c>
      <c r="C7" s="608"/>
      <c r="D7" s="94"/>
      <c r="E7" s="95">
        <v>1308</v>
      </c>
      <c r="F7" s="95">
        <v>337</v>
      </c>
      <c r="G7" s="95">
        <v>56</v>
      </c>
      <c r="H7" s="95">
        <v>99</v>
      </c>
      <c r="I7" s="95">
        <v>43</v>
      </c>
      <c r="J7" s="95">
        <v>136</v>
      </c>
      <c r="K7" s="95">
        <v>56</v>
      </c>
      <c r="L7" s="95">
        <v>70</v>
      </c>
      <c r="M7" s="96">
        <f>SUM(F7:L7)</f>
        <v>797</v>
      </c>
      <c r="N7" s="97" t="s">
        <v>128</v>
      </c>
    </row>
    <row r="8" spans="2:14" ht="12" customHeight="1">
      <c r="B8" s="98"/>
      <c r="C8" s="99" t="s">
        <v>54</v>
      </c>
      <c r="D8" s="94" t="s">
        <v>129</v>
      </c>
      <c r="E8" s="100">
        <v>-594</v>
      </c>
      <c r="F8" s="100">
        <v>-133</v>
      </c>
      <c r="G8" s="100">
        <v>0</v>
      </c>
      <c r="H8" s="100">
        <v>-37</v>
      </c>
      <c r="I8" s="100">
        <v>-14</v>
      </c>
      <c r="J8" s="100">
        <v>0</v>
      </c>
      <c r="K8" s="100">
        <v>0</v>
      </c>
      <c r="L8" s="100">
        <v>0</v>
      </c>
      <c r="M8" s="101">
        <f>SUM(F8:L8)</f>
        <v>-184</v>
      </c>
      <c r="N8" s="97" t="s">
        <v>128</v>
      </c>
    </row>
    <row r="9" spans="2:14" ht="24">
      <c r="B9" s="98"/>
      <c r="C9" s="99" t="s">
        <v>157</v>
      </c>
      <c r="D9" s="94" t="s">
        <v>130</v>
      </c>
      <c r="E9" s="102">
        <v>0</v>
      </c>
      <c r="F9" s="102">
        <v>0</v>
      </c>
      <c r="G9" s="102">
        <v>0</v>
      </c>
      <c r="H9" s="102">
        <v>-29</v>
      </c>
      <c r="I9" s="102">
        <v>0</v>
      </c>
      <c r="J9" s="102">
        <v>-4</v>
      </c>
      <c r="K9" s="102">
        <v>-2</v>
      </c>
      <c r="L9" s="102">
        <v>-9</v>
      </c>
      <c r="M9" s="103">
        <f>SUM(F9:L9)</f>
        <v>-44</v>
      </c>
      <c r="N9" s="97" t="s">
        <v>128</v>
      </c>
    </row>
    <row r="10" spans="2:14">
      <c r="B10" s="98"/>
      <c r="C10" s="99" t="s">
        <v>138</v>
      </c>
      <c r="D10" s="104" t="s">
        <v>131</v>
      </c>
      <c r="E10" s="102">
        <v>0</v>
      </c>
      <c r="F10" s="102">
        <v>0</v>
      </c>
      <c r="G10" s="102">
        <v>0</v>
      </c>
      <c r="H10" s="102">
        <v>0</v>
      </c>
      <c r="I10" s="102">
        <v>0</v>
      </c>
      <c r="J10" s="102">
        <v>0</v>
      </c>
      <c r="K10" s="102">
        <v>0</v>
      </c>
      <c r="L10" s="102">
        <v>-3</v>
      </c>
      <c r="M10" s="103">
        <f>SUM(F10:L10)</f>
        <v>-3</v>
      </c>
      <c r="N10" s="97" t="s">
        <v>128</v>
      </c>
    </row>
    <row r="11" spans="2:14">
      <c r="B11" s="98"/>
      <c r="C11" s="99" t="s">
        <v>158</v>
      </c>
      <c r="D11" s="94" t="s">
        <v>139</v>
      </c>
      <c r="E11" s="212">
        <v>0</v>
      </c>
      <c r="F11" s="212">
        <v>-1</v>
      </c>
      <c r="G11" s="212">
        <v>0</v>
      </c>
      <c r="H11" s="212">
        <v>-4</v>
      </c>
      <c r="I11" s="212">
        <v>-12</v>
      </c>
      <c r="J11" s="212">
        <v>0</v>
      </c>
      <c r="K11" s="212">
        <v>0</v>
      </c>
      <c r="L11" s="212">
        <v>0</v>
      </c>
      <c r="M11" s="213">
        <f>SUM(F11:L11)</f>
        <v>-17</v>
      </c>
      <c r="N11" s="97" t="s">
        <v>128</v>
      </c>
    </row>
    <row r="12" spans="2:14" ht="12.75" thickBot="1">
      <c r="B12" s="600" t="s">
        <v>133</v>
      </c>
      <c r="C12" s="601"/>
      <c r="D12" s="105"/>
      <c r="E12" s="106">
        <f t="shared" ref="E12:M12" si="0">SUM(E7:E11)</f>
        <v>714</v>
      </c>
      <c r="F12" s="106">
        <f t="shared" si="0"/>
        <v>203</v>
      </c>
      <c r="G12" s="106">
        <f t="shared" si="0"/>
        <v>56</v>
      </c>
      <c r="H12" s="106">
        <f t="shared" si="0"/>
        <v>29</v>
      </c>
      <c r="I12" s="106">
        <f t="shared" si="0"/>
        <v>17</v>
      </c>
      <c r="J12" s="106">
        <f t="shared" si="0"/>
        <v>132</v>
      </c>
      <c r="K12" s="106">
        <f t="shared" si="0"/>
        <v>54</v>
      </c>
      <c r="L12" s="106">
        <f t="shared" si="0"/>
        <v>58</v>
      </c>
      <c r="M12" s="107">
        <f t="shared" si="0"/>
        <v>549</v>
      </c>
      <c r="N12" s="97" t="s">
        <v>128</v>
      </c>
    </row>
    <row r="13" spans="2:14" ht="4.5" customHeight="1" thickTop="1" thickBot="1">
      <c r="B13" s="108"/>
      <c r="C13" s="109"/>
      <c r="D13" s="110"/>
      <c r="E13" s="109"/>
      <c r="F13" s="111"/>
      <c r="G13" s="111"/>
      <c r="H13" s="111"/>
      <c r="I13" s="111"/>
      <c r="J13" s="111"/>
      <c r="K13" s="111"/>
      <c r="L13" s="111"/>
      <c r="M13" s="112"/>
      <c r="N13" s="97" t="s">
        <v>128</v>
      </c>
    </row>
    <row r="14" spans="2:14" ht="12.75" thickBot="1">
      <c r="B14" s="113"/>
      <c r="C14" s="114"/>
      <c r="D14" s="115"/>
      <c r="E14" s="114"/>
      <c r="F14" s="114"/>
      <c r="G14" s="114"/>
      <c r="H14" s="114"/>
      <c r="I14" s="114"/>
      <c r="J14" s="114"/>
      <c r="K14" s="114"/>
      <c r="L14" s="114"/>
      <c r="M14" s="114"/>
      <c r="N14" s="114"/>
    </row>
    <row r="15" spans="2:14" ht="60">
      <c r="B15" s="605" t="str">
        <f>B6</f>
        <v>Three Months Ended March 31, 2010</v>
      </c>
      <c r="C15" s="606"/>
      <c r="D15" s="116"/>
      <c r="E15" s="117" t="s">
        <v>140</v>
      </c>
      <c r="F15" s="117" t="s">
        <v>141</v>
      </c>
      <c r="G15" s="117" t="s">
        <v>136</v>
      </c>
      <c r="H15" s="118" t="s">
        <v>137</v>
      </c>
      <c r="I15" s="119"/>
      <c r="J15" s="120"/>
      <c r="K15" s="121"/>
      <c r="L15" s="113"/>
      <c r="M15" s="113"/>
      <c r="N15" s="113"/>
    </row>
    <row r="16" spans="2:14">
      <c r="B16" s="598" t="s">
        <v>127</v>
      </c>
      <c r="C16" s="599"/>
      <c r="D16" s="122"/>
      <c r="E16" s="123">
        <f>E7-M7</f>
        <v>511</v>
      </c>
      <c r="F16" s="123">
        <v>381</v>
      </c>
      <c r="G16" s="124">
        <v>0.3</v>
      </c>
      <c r="H16" s="125">
        <v>0.3</v>
      </c>
      <c r="I16" s="126"/>
      <c r="J16" s="127"/>
      <c r="K16" s="121"/>
      <c r="L16" s="113"/>
      <c r="M16" s="113"/>
      <c r="N16" s="113"/>
    </row>
    <row r="17" spans="2:14" ht="12" customHeight="1">
      <c r="B17" s="98"/>
      <c r="C17" s="99" t="s">
        <v>54</v>
      </c>
      <c r="D17" s="122" t="s">
        <v>129</v>
      </c>
      <c r="E17" s="128">
        <f>E8-M8</f>
        <v>-410</v>
      </c>
      <c r="F17" s="129">
        <v>-308</v>
      </c>
      <c r="G17" s="130">
        <v>-0.24</v>
      </c>
      <c r="H17" s="131">
        <v>-0.24</v>
      </c>
      <c r="I17" s="126"/>
      <c r="J17" s="126"/>
      <c r="K17" s="126"/>
      <c r="L17" s="126"/>
      <c r="M17" s="126"/>
      <c r="N17" s="126"/>
    </row>
    <row r="18" spans="2:14" ht="24">
      <c r="B18" s="98"/>
      <c r="C18" s="99" t="s">
        <v>157</v>
      </c>
      <c r="D18" s="122" t="s">
        <v>130</v>
      </c>
      <c r="E18" s="128">
        <f>E9-M9</f>
        <v>44</v>
      </c>
      <c r="F18" s="129">
        <v>30</v>
      </c>
      <c r="G18" s="130">
        <v>0.02</v>
      </c>
      <c r="H18" s="131">
        <v>0.02</v>
      </c>
      <c r="I18" s="132"/>
      <c r="J18" s="132"/>
      <c r="K18" s="133"/>
      <c r="L18" s="133"/>
      <c r="M18" s="133"/>
      <c r="N18" s="133"/>
    </row>
    <row r="19" spans="2:14">
      <c r="B19" s="98"/>
      <c r="C19" s="99" t="s">
        <v>138</v>
      </c>
      <c r="D19" s="134" t="s">
        <v>131</v>
      </c>
      <c r="E19" s="128">
        <f>E10-M10</f>
        <v>3</v>
      </c>
      <c r="F19" s="129">
        <v>2</v>
      </c>
      <c r="G19" s="135">
        <v>0</v>
      </c>
      <c r="H19" s="136">
        <v>0</v>
      </c>
      <c r="I19" s="137"/>
      <c r="J19" s="137"/>
      <c r="K19" s="138"/>
      <c r="L19" s="133"/>
      <c r="M19" s="133"/>
      <c r="N19" s="133"/>
    </row>
    <row r="20" spans="2:14">
      <c r="B20" s="98"/>
      <c r="C20" s="99" t="s">
        <v>158</v>
      </c>
      <c r="D20" s="122" t="s">
        <v>139</v>
      </c>
      <c r="E20" s="128">
        <f>E11-M11</f>
        <v>17</v>
      </c>
      <c r="F20" s="129">
        <v>11</v>
      </c>
      <c r="G20" s="139">
        <v>0.01</v>
      </c>
      <c r="H20" s="131">
        <v>0.01</v>
      </c>
      <c r="I20" s="137"/>
      <c r="J20" s="137"/>
      <c r="K20" s="138"/>
      <c r="L20" s="133"/>
      <c r="M20" s="133"/>
      <c r="N20" s="133"/>
    </row>
    <row r="21" spans="2:14" ht="12.75" thickBot="1">
      <c r="B21" s="600" t="s">
        <v>133</v>
      </c>
      <c r="C21" s="601"/>
      <c r="D21" s="140"/>
      <c r="E21" s="141">
        <f>SUM(E16:E20)</f>
        <v>165</v>
      </c>
      <c r="F21" s="141">
        <f>SUM(F16:F20)</f>
        <v>116</v>
      </c>
      <c r="G21" s="142">
        <v>0.09</v>
      </c>
      <c r="H21" s="143">
        <v>0.09</v>
      </c>
      <c r="I21" s="144"/>
      <c r="J21" s="114"/>
      <c r="K21" s="114"/>
      <c r="L21" s="114"/>
      <c r="M21" s="114"/>
      <c r="N21" s="114"/>
    </row>
    <row r="22" spans="2:14" ht="4.5" customHeight="1" thickTop="1" thickBot="1">
      <c r="B22" s="145"/>
      <c r="C22" s="146"/>
      <c r="D22" s="147"/>
      <c r="E22" s="148"/>
      <c r="F22" s="148"/>
      <c r="G22" s="148"/>
      <c r="H22" s="149"/>
      <c r="I22" s="113"/>
      <c r="J22" s="114"/>
      <c r="K22" s="114"/>
      <c r="L22" s="114"/>
      <c r="M22" s="114"/>
      <c r="N22" s="114"/>
    </row>
    <row r="24" spans="2:14" ht="12.75" thickBot="1"/>
    <row r="25" spans="2:14" ht="60">
      <c r="B25" s="605" t="s">
        <v>156</v>
      </c>
      <c r="C25" s="606"/>
      <c r="D25" s="90"/>
      <c r="E25" s="91" t="s">
        <v>119</v>
      </c>
      <c r="F25" s="91" t="s">
        <v>120</v>
      </c>
      <c r="G25" s="91" t="s">
        <v>285</v>
      </c>
      <c r="H25" s="91" t="s">
        <v>121</v>
      </c>
      <c r="I25" s="91" t="s">
        <v>122</v>
      </c>
      <c r="J25" s="91" t="s">
        <v>123</v>
      </c>
      <c r="K25" s="91" t="s">
        <v>124</v>
      </c>
      <c r="L25" s="91" t="s">
        <v>125</v>
      </c>
      <c r="M25" s="92" t="s">
        <v>126</v>
      </c>
    </row>
    <row r="26" spans="2:14">
      <c r="B26" s="607" t="s">
        <v>127</v>
      </c>
      <c r="C26" s="608"/>
      <c r="D26" s="94"/>
      <c r="E26" s="95">
        <v>967</v>
      </c>
      <c r="F26" s="95">
        <v>235</v>
      </c>
      <c r="G26" s="95">
        <v>53</v>
      </c>
      <c r="H26" s="95">
        <v>51</v>
      </c>
      <c r="I26" s="95">
        <v>29</v>
      </c>
      <c r="J26" s="95">
        <v>99</v>
      </c>
      <c r="K26" s="95">
        <v>125</v>
      </c>
      <c r="L26" s="95">
        <v>75</v>
      </c>
      <c r="M26" s="96">
        <f>SUM(F26:L26)</f>
        <v>667</v>
      </c>
    </row>
    <row r="27" spans="2:14" ht="12" customHeight="1">
      <c r="B27" s="98"/>
      <c r="C27" s="99" t="s">
        <v>54</v>
      </c>
      <c r="D27" s="94" t="s">
        <v>129</v>
      </c>
      <c r="E27" s="100">
        <v>-284</v>
      </c>
      <c r="F27" s="100">
        <v>-68</v>
      </c>
      <c r="G27" s="100">
        <v>0</v>
      </c>
      <c r="H27" s="100">
        <v>13</v>
      </c>
      <c r="I27" s="100">
        <v>-2</v>
      </c>
      <c r="J27" s="100">
        <v>0</v>
      </c>
      <c r="K27" s="100">
        <v>0</v>
      </c>
      <c r="L27" s="100">
        <v>0</v>
      </c>
      <c r="M27" s="101">
        <v>-57</v>
      </c>
    </row>
    <row r="28" spans="2:14" ht="24">
      <c r="B28" s="98"/>
      <c r="C28" s="99" t="s">
        <v>157</v>
      </c>
      <c r="D28" s="94" t="s">
        <v>130</v>
      </c>
      <c r="E28" s="102">
        <v>0</v>
      </c>
      <c r="F28" s="102">
        <v>0</v>
      </c>
      <c r="G28" s="102">
        <v>0</v>
      </c>
      <c r="H28" s="102">
        <v>-12</v>
      </c>
      <c r="I28" s="102">
        <v>0</v>
      </c>
      <c r="J28" s="102">
        <v>6</v>
      </c>
      <c r="K28" s="102">
        <v>-2</v>
      </c>
      <c r="L28" s="102">
        <v>-9</v>
      </c>
      <c r="M28" s="103">
        <v>-17</v>
      </c>
    </row>
    <row r="29" spans="2:14">
      <c r="B29" s="98"/>
      <c r="C29" s="99" t="s">
        <v>138</v>
      </c>
      <c r="D29" s="104" t="s">
        <v>131</v>
      </c>
      <c r="E29" s="102">
        <v>0</v>
      </c>
      <c r="F29" s="102">
        <v>0</v>
      </c>
      <c r="G29" s="102">
        <v>0</v>
      </c>
      <c r="H29" s="102">
        <v>0</v>
      </c>
      <c r="I29" s="102">
        <v>0</v>
      </c>
      <c r="J29" s="102">
        <v>0</v>
      </c>
      <c r="K29" s="102">
        <v>0</v>
      </c>
      <c r="L29" s="102">
        <v>-1</v>
      </c>
      <c r="M29" s="103">
        <v>-1</v>
      </c>
    </row>
    <row r="30" spans="2:14">
      <c r="B30" s="98"/>
      <c r="C30" s="99" t="s">
        <v>207</v>
      </c>
      <c r="D30" s="94" t="s">
        <v>139</v>
      </c>
      <c r="E30" s="212">
        <v>0</v>
      </c>
      <c r="F30" s="212">
        <v>-1</v>
      </c>
      <c r="G30" s="212">
        <v>0</v>
      </c>
      <c r="H30" s="212">
        <v>0</v>
      </c>
      <c r="I30" s="212">
        <v>-9</v>
      </c>
      <c r="J30" s="212">
        <v>0</v>
      </c>
      <c r="K30" s="212">
        <v>0</v>
      </c>
      <c r="L30" s="212">
        <v>0</v>
      </c>
      <c r="M30" s="213">
        <v>-10</v>
      </c>
    </row>
    <row r="31" spans="2:14" ht="12.75" thickBot="1">
      <c r="B31" s="600" t="s">
        <v>133</v>
      </c>
      <c r="C31" s="601"/>
      <c r="D31" s="105"/>
      <c r="E31" s="106">
        <v>683</v>
      </c>
      <c r="F31" s="106">
        <v>166</v>
      </c>
      <c r="G31" s="106">
        <v>53</v>
      </c>
      <c r="H31" s="106">
        <v>52</v>
      </c>
      <c r="I31" s="106">
        <v>18</v>
      </c>
      <c r="J31" s="106">
        <v>105</v>
      </c>
      <c r="K31" s="106">
        <v>123</v>
      </c>
      <c r="L31" s="106">
        <v>65</v>
      </c>
      <c r="M31" s="107">
        <v>582</v>
      </c>
    </row>
    <row r="32" spans="2:14" ht="4.5" customHeight="1" thickTop="1" thickBot="1">
      <c r="B32" s="108"/>
      <c r="C32" s="109"/>
      <c r="D32" s="110"/>
      <c r="E32" s="109"/>
      <c r="F32" s="111"/>
      <c r="G32" s="111"/>
      <c r="H32" s="111"/>
      <c r="I32" s="111"/>
      <c r="J32" s="111"/>
      <c r="K32" s="111"/>
      <c r="L32" s="111"/>
      <c r="M32" s="112"/>
    </row>
    <row r="33" spans="2:13" ht="13.5" thickBot="1">
      <c r="B33" s="150"/>
      <c r="C33" s="151"/>
      <c r="D33" s="152"/>
      <c r="E33" s="151"/>
      <c r="F33" s="151"/>
      <c r="G33" s="151"/>
      <c r="H33" s="151"/>
      <c r="I33" s="151"/>
      <c r="J33" s="151"/>
      <c r="K33" s="151"/>
      <c r="L33" s="151"/>
      <c r="M33" s="151"/>
    </row>
    <row r="34" spans="2:13" ht="60">
      <c r="B34" s="605" t="s">
        <v>156</v>
      </c>
      <c r="C34" s="606"/>
      <c r="D34" s="116"/>
      <c r="E34" s="117" t="s">
        <v>140</v>
      </c>
      <c r="F34" s="117" t="s">
        <v>141</v>
      </c>
      <c r="G34" s="117" t="s">
        <v>136</v>
      </c>
      <c r="H34" s="118" t="s">
        <v>137</v>
      </c>
      <c r="I34" s="153"/>
      <c r="J34" s="154"/>
      <c r="K34" s="155"/>
      <c r="L34" s="150"/>
      <c r="M34" s="150"/>
    </row>
    <row r="35" spans="2:13" ht="12.75">
      <c r="B35" s="598" t="s">
        <v>127</v>
      </c>
      <c r="C35" s="599"/>
      <c r="D35" s="122"/>
      <c r="E35" s="123">
        <v>300</v>
      </c>
      <c r="F35" s="123">
        <v>219</v>
      </c>
      <c r="G35" s="124">
        <v>0.17635222099911163</v>
      </c>
      <c r="H35" s="125">
        <v>0.17414140342614404</v>
      </c>
      <c r="I35" s="156"/>
      <c r="J35" s="157"/>
      <c r="K35" s="155"/>
      <c r="L35" s="150"/>
      <c r="M35" s="150"/>
    </row>
    <row r="36" spans="2:13" ht="12" customHeight="1">
      <c r="B36" s="98"/>
      <c r="C36" s="99" t="s">
        <v>54</v>
      </c>
      <c r="D36" s="122" t="s">
        <v>129</v>
      </c>
      <c r="E36" s="128">
        <v>-227</v>
      </c>
      <c r="F36" s="129">
        <v>-165</v>
      </c>
      <c r="G36" s="130">
        <v>-0.13296949690624998</v>
      </c>
      <c r="H36" s="131">
        <v>-0.13131570573786891</v>
      </c>
      <c r="I36" s="156"/>
      <c r="J36" s="156"/>
      <c r="K36" s="156"/>
      <c r="L36" s="156"/>
      <c r="M36" s="158"/>
    </row>
    <row r="37" spans="2:13" ht="24">
      <c r="B37" s="98"/>
      <c r="C37" s="99" t="s">
        <v>157</v>
      </c>
      <c r="D37" s="122" t="s">
        <v>130</v>
      </c>
      <c r="E37" s="128">
        <v>17</v>
      </c>
      <c r="F37" s="129">
        <v>12</v>
      </c>
      <c r="G37" s="130">
        <v>9.709487035933724E-3</v>
      </c>
      <c r="H37" s="131">
        <v>9.5887265285757167E-3</v>
      </c>
      <c r="I37" s="159"/>
      <c r="J37" s="159"/>
      <c r="K37" s="158"/>
      <c r="L37" s="158"/>
      <c r="M37" s="158"/>
    </row>
    <row r="38" spans="2:13" ht="12.75">
      <c r="B38" s="98"/>
      <c r="C38" s="99" t="s">
        <v>138</v>
      </c>
      <c r="D38" s="134" t="s">
        <v>131</v>
      </c>
      <c r="E38" s="128">
        <v>1</v>
      </c>
      <c r="F38" s="129">
        <v>0</v>
      </c>
      <c r="G38" s="160">
        <v>0</v>
      </c>
      <c r="H38" s="136">
        <v>0</v>
      </c>
      <c r="I38" s="161"/>
      <c r="J38" s="161"/>
      <c r="K38" s="162"/>
      <c r="L38" s="158"/>
      <c r="M38" s="158"/>
    </row>
    <row r="39" spans="2:13" ht="12.75">
      <c r="B39" s="98"/>
      <c r="C39" s="99" t="s">
        <v>158</v>
      </c>
      <c r="D39" s="122" t="s">
        <v>139</v>
      </c>
      <c r="E39" s="128">
        <v>10</v>
      </c>
      <c r="F39" s="129">
        <v>6</v>
      </c>
      <c r="G39" s="139">
        <v>4.8293850201945451E-3</v>
      </c>
      <c r="H39" s="131">
        <v>4.7693201595991816E-3</v>
      </c>
      <c r="I39" s="161"/>
      <c r="J39" s="161"/>
      <c r="K39" s="162"/>
      <c r="L39" s="158"/>
      <c r="M39" s="158"/>
    </row>
    <row r="40" spans="2:13" ht="13.5" thickBot="1">
      <c r="B40" s="600" t="s">
        <v>133</v>
      </c>
      <c r="C40" s="601"/>
      <c r="D40" s="140"/>
      <c r="E40" s="141">
        <v>101</v>
      </c>
      <c r="F40" s="141">
        <v>72</v>
      </c>
      <c r="G40" s="142">
        <v>5.8184469364824298E-2</v>
      </c>
      <c r="H40" s="143">
        <v>5.7460807443772369E-2</v>
      </c>
      <c r="I40" s="163"/>
      <c r="J40" s="151"/>
      <c r="K40" s="151"/>
      <c r="L40" s="151"/>
    </row>
    <row r="41" spans="2:13" ht="4.5" customHeight="1" thickTop="1" thickBot="1">
      <c r="B41" s="145"/>
      <c r="C41" s="146"/>
      <c r="D41" s="147"/>
      <c r="E41" s="148"/>
      <c r="F41" s="148"/>
      <c r="G41" s="148"/>
      <c r="H41" s="149"/>
      <c r="I41" s="150"/>
      <c r="J41" s="151"/>
      <c r="K41" s="151"/>
      <c r="L41" s="151"/>
    </row>
    <row r="43" spans="2:13" ht="12.75" thickBot="1"/>
    <row r="44" spans="2:13" ht="60">
      <c r="B44" s="605" t="s">
        <v>37</v>
      </c>
      <c r="C44" s="606"/>
      <c r="D44" s="90"/>
      <c r="E44" s="91" t="s">
        <v>119</v>
      </c>
      <c r="F44" s="91" t="s">
        <v>120</v>
      </c>
      <c r="G44" s="91" t="s">
        <v>285</v>
      </c>
      <c r="H44" s="91" t="s">
        <v>121</v>
      </c>
      <c r="I44" s="91" t="s">
        <v>122</v>
      </c>
      <c r="J44" s="91" t="s">
        <v>123</v>
      </c>
      <c r="K44" s="91" t="s">
        <v>124</v>
      </c>
      <c r="L44" s="91" t="s">
        <v>125</v>
      </c>
      <c r="M44" s="92" t="s">
        <v>126</v>
      </c>
    </row>
    <row r="45" spans="2:13">
      <c r="B45" s="607" t="s">
        <v>127</v>
      </c>
      <c r="C45" s="608"/>
      <c r="D45" s="94"/>
      <c r="E45" s="95">
        <v>745</v>
      </c>
      <c r="F45" s="95">
        <v>194</v>
      </c>
      <c r="G45" s="95">
        <v>61</v>
      </c>
      <c r="H45" s="95">
        <v>61</v>
      </c>
      <c r="I45" s="95">
        <v>33</v>
      </c>
      <c r="J45" s="95">
        <v>118</v>
      </c>
      <c r="K45" s="95">
        <v>110</v>
      </c>
      <c r="L45" s="95">
        <v>113</v>
      </c>
      <c r="M45" s="96">
        <v>690</v>
      </c>
    </row>
    <row r="46" spans="2:13" ht="12" customHeight="1">
      <c r="B46" s="98"/>
      <c r="C46" s="99" t="s">
        <v>54</v>
      </c>
      <c r="D46" s="94" t="s">
        <v>129</v>
      </c>
      <c r="E46" s="100">
        <v>112</v>
      </c>
      <c r="F46" s="100">
        <v>3</v>
      </c>
      <c r="G46" s="100">
        <v>0</v>
      </c>
      <c r="H46" s="100">
        <v>8</v>
      </c>
      <c r="I46" s="100">
        <v>4</v>
      </c>
      <c r="J46" s="100">
        <v>0</v>
      </c>
      <c r="K46" s="100">
        <v>0</v>
      </c>
      <c r="L46" s="100">
        <v>0</v>
      </c>
      <c r="M46" s="101">
        <v>15</v>
      </c>
    </row>
    <row r="47" spans="2:13">
      <c r="B47" s="98"/>
      <c r="C47" s="99" t="s">
        <v>55</v>
      </c>
      <c r="D47" s="94" t="s">
        <v>130</v>
      </c>
      <c r="E47" s="102">
        <v>0</v>
      </c>
      <c r="F47" s="102">
        <v>0</v>
      </c>
      <c r="G47" s="102">
        <v>0</v>
      </c>
      <c r="H47" s="102">
        <v>-11</v>
      </c>
      <c r="I47" s="102">
        <v>0</v>
      </c>
      <c r="J47" s="102">
        <v>-6</v>
      </c>
      <c r="K47" s="102">
        <v>-2</v>
      </c>
      <c r="L47" s="102">
        <v>-15</v>
      </c>
      <c r="M47" s="103">
        <v>-34</v>
      </c>
    </row>
    <row r="48" spans="2:13" ht="24">
      <c r="B48" s="98"/>
      <c r="C48" s="99" t="s">
        <v>57</v>
      </c>
      <c r="D48" s="94" t="s">
        <v>132</v>
      </c>
      <c r="E48" s="212">
        <v>0</v>
      </c>
      <c r="F48" s="212">
        <v>-1</v>
      </c>
      <c r="G48" s="212">
        <v>0</v>
      </c>
      <c r="H48" s="212">
        <v>-5</v>
      </c>
      <c r="I48" s="212">
        <v>-12</v>
      </c>
      <c r="J48" s="212">
        <v>0</v>
      </c>
      <c r="K48" s="212">
        <v>0</v>
      </c>
      <c r="L48" s="212">
        <v>0</v>
      </c>
      <c r="M48" s="213">
        <v>-18</v>
      </c>
    </row>
    <row r="49" spans="2:14" ht="12.75" thickBot="1">
      <c r="B49" s="600" t="s">
        <v>133</v>
      </c>
      <c r="C49" s="601"/>
      <c r="D49" s="105"/>
      <c r="E49" s="106">
        <v>857</v>
      </c>
      <c r="F49" s="106">
        <v>196</v>
      </c>
      <c r="G49" s="106">
        <v>61</v>
      </c>
      <c r="H49" s="106">
        <v>53</v>
      </c>
      <c r="I49" s="106">
        <v>25</v>
      </c>
      <c r="J49" s="106">
        <v>112</v>
      </c>
      <c r="K49" s="106">
        <v>108</v>
      </c>
      <c r="L49" s="106">
        <v>98</v>
      </c>
      <c r="M49" s="107">
        <v>653</v>
      </c>
    </row>
    <row r="50" spans="2:14" ht="4.5" customHeight="1" thickTop="1" thickBot="1">
      <c r="B50" s="108"/>
      <c r="C50" s="109"/>
      <c r="D50" s="110"/>
      <c r="E50" s="109"/>
      <c r="F50" s="111"/>
      <c r="G50" s="111"/>
      <c r="H50" s="111"/>
      <c r="I50" s="111"/>
      <c r="J50" s="111"/>
      <c r="K50" s="111"/>
      <c r="L50" s="111"/>
      <c r="M50" s="112"/>
    </row>
    <row r="51" spans="2:14" ht="12.75" thickBot="1">
      <c r="B51" s="164"/>
      <c r="C51" s="165"/>
      <c r="D51" s="166"/>
      <c r="E51" s="167"/>
      <c r="F51" s="167"/>
      <c r="G51" s="167"/>
      <c r="H51" s="167"/>
      <c r="I51" s="167"/>
      <c r="J51" s="167"/>
      <c r="K51" s="167"/>
      <c r="L51" s="167"/>
      <c r="M51" s="167"/>
    </row>
    <row r="52" spans="2:14" ht="48">
      <c r="B52" s="605" t="s">
        <v>37</v>
      </c>
      <c r="C52" s="606"/>
      <c r="D52" s="116"/>
      <c r="E52" s="117" t="s">
        <v>140</v>
      </c>
      <c r="F52" s="117" t="s">
        <v>141</v>
      </c>
      <c r="G52" s="117" t="s">
        <v>142</v>
      </c>
      <c r="H52" s="118" t="s">
        <v>143</v>
      </c>
      <c r="I52" s="168"/>
      <c r="J52" s="169"/>
      <c r="K52" s="170"/>
      <c r="L52" s="171"/>
      <c r="M52" s="171"/>
    </row>
    <row r="53" spans="2:14">
      <c r="B53" s="598" t="s">
        <v>127</v>
      </c>
      <c r="C53" s="599"/>
      <c r="D53" s="122"/>
      <c r="E53" s="123">
        <v>55</v>
      </c>
      <c r="F53" s="123">
        <v>51</v>
      </c>
      <c r="G53" s="124">
        <v>4.1642141444601218E-2</v>
      </c>
      <c r="H53" s="125">
        <v>4.1136438942310484E-2</v>
      </c>
      <c r="I53" s="172"/>
      <c r="J53" s="173"/>
      <c r="K53" s="170"/>
      <c r="L53" s="171"/>
      <c r="M53" s="171"/>
    </row>
    <row r="54" spans="2:14" ht="12" customHeight="1">
      <c r="B54" s="98"/>
      <c r="C54" s="99" t="s">
        <v>54</v>
      </c>
      <c r="D54" s="122" t="s">
        <v>129</v>
      </c>
      <c r="E54" s="128">
        <v>97</v>
      </c>
      <c r="F54" s="129">
        <v>81</v>
      </c>
      <c r="G54" s="130">
        <v>7.0000000000000007E-2</v>
      </c>
      <c r="H54" s="131">
        <v>7.0000000000000007E-2</v>
      </c>
      <c r="I54" s="172"/>
      <c r="J54" s="172"/>
      <c r="K54" s="172"/>
      <c r="L54" s="172"/>
      <c r="M54" s="174"/>
    </row>
    <row r="55" spans="2:14">
      <c r="B55" s="98"/>
      <c r="C55" s="99" t="s">
        <v>55</v>
      </c>
      <c r="D55" s="122" t="s">
        <v>130</v>
      </c>
      <c r="E55" s="128">
        <v>34</v>
      </c>
      <c r="F55" s="129">
        <v>21</v>
      </c>
      <c r="G55" s="130">
        <v>0.02</v>
      </c>
      <c r="H55" s="131">
        <v>0.02</v>
      </c>
      <c r="I55" s="175"/>
      <c r="J55" s="175"/>
      <c r="K55" s="174"/>
      <c r="L55" s="174"/>
      <c r="M55" s="174"/>
    </row>
    <row r="56" spans="2:14" ht="24">
      <c r="B56" s="98"/>
      <c r="C56" s="99" t="s">
        <v>57</v>
      </c>
      <c r="D56" s="122" t="s">
        <v>132</v>
      </c>
      <c r="E56" s="128">
        <v>18</v>
      </c>
      <c r="F56" s="129">
        <v>-5</v>
      </c>
      <c r="G56" s="139">
        <v>0</v>
      </c>
      <c r="H56" s="131">
        <v>0</v>
      </c>
      <c r="I56" s="176"/>
      <c r="J56" s="176"/>
      <c r="K56" s="177"/>
      <c r="L56" s="174"/>
      <c r="M56" s="174"/>
    </row>
    <row r="57" spans="2:14" ht="12.75" thickBot="1">
      <c r="B57" s="600" t="s">
        <v>133</v>
      </c>
      <c r="C57" s="601"/>
      <c r="D57" s="140"/>
      <c r="E57" s="141">
        <v>204</v>
      </c>
      <c r="F57" s="141">
        <v>148</v>
      </c>
      <c r="G57" s="142">
        <v>0.12</v>
      </c>
      <c r="H57" s="143">
        <v>0.12</v>
      </c>
      <c r="I57" s="178"/>
      <c r="J57" s="167"/>
      <c r="K57" s="167"/>
      <c r="L57" s="167"/>
      <c r="M57" s="167"/>
    </row>
    <row r="58" spans="2:14" ht="4.5" customHeight="1" thickTop="1" thickBot="1">
      <c r="B58" s="145"/>
      <c r="C58" s="146"/>
      <c r="D58" s="147"/>
      <c r="E58" s="148"/>
      <c r="F58" s="148"/>
      <c r="G58" s="148"/>
      <c r="H58" s="149"/>
      <c r="I58" s="171"/>
      <c r="J58" s="167"/>
      <c r="K58" s="167"/>
      <c r="L58" s="167"/>
      <c r="M58" s="167"/>
    </row>
    <row r="59" spans="2:14">
      <c r="B59" s="113"/>
      <c r="C59" s="113"/>
      <c r="D59" s="179"/>
      <c r="E59" s="113"/>
      <c r="F59" s="113"/>
      <c r="G59" s="113"/>
      <c r="H59" s="113"/>
      <c r="I59" s="171"/>
      <c r="J59" s="167"/>
      <c r="K59" s="167"/>
      <c r="L59" s="167"/>
    </row>
    <row r="60" spans="2:14" ht="12.75" thickBot="1"/>
    <row r="61" spans="2:14" ht="60">
      <c r="B61" s="180" t="s">
        <v>39</v>
      </c>
      <c r="C61" s="181"/>
      <c r="D61" s="182"/>
      <c r="E61" s="91" t="s">
        <v>119</v>
      </c>
      <c r="F61" s="91" t="s">
        <v>120</v>
      </c>
      <c r="G61" s="91" t="s">
        <v>285</v>
      </c>
      <c r="H61" s="91" t="s">
        <v>121</v>
      </c>
      <c r="I61" s="91" t="s">
        <v>122</v>
      </c>
      <c r="J61" s="91" t="s">
        <v>123</v>
      </c>
      <c r="K61" s="91" t="s">
        <v>124</v>
      </c>
      <c r="L61" s="91" t="s">
        <v>125</v>
      </c>
      <c r="M61" s="91" t="s">
        <v>148</v>
      </c>
      <c r="N61" s="92" t="s">
        <v>126</v>
      </c>
    </row>
    <row r="62" spans="2:14">
      <c r="B62" s="183" t="s">
        <v>127</v>
      </c>
      <c r="C62" s="184"/>
      <c r="D62" s="185"/>
      <c r="E62" s="123">
        <v>1427</v>
      </c>
      <c r="F62" s="123">
        <v>585</v>
      </c>
      <c r="G62" s="123">
        <v>73</v>
      </c>
      <c r="H62" s="123">
        <v>128</v>
      </c>
      <c r="I62" s="123">
        <v>92</v>
      </c>
      <c r="J62" s="123">
        <v>273</v>
      </c>
      <c r="K62" s="123">
        <v>225</v>
      </c>
      <c r="L62" s="123">
        <v>122</v>
      </c>
      <c r="M62" s="123">
        <v>326</v>
      </c>
      <c r="N62" s="186">
        <f t="shared" ref="N62:N67" si="1">SUM(F62:M62)</f>
        <v>1824</v>
      </c>
    </row>
    <row r="63" spans="2:14" ht="12" customHeight="1">
      <c r="B63" s="98"/>
      <c r="C63" s="99" t="s">
        <v>54</v>
      </c>
      <c r="D63" s="122" t="s">
        <v>129</v>
      </c>
      <c r="E63" s="129">
        <v>1121</v>
      </c>
      <c r="F63" s="129">
        <v>200</v>
      </c>
      <c r="G63" s="135">
        <v>0</v>
      </c>
      <c r="H63" s="129">
        <v>45</v>
      </c>
      <c r="I63" s="129">
        <v>17</v>
      </c>
      <c r="J63" s="135">
        <v>0</v>
      </c>
      <c r="K63" s="135">
        <v>0</v>
      </c>
      <c r="L63" s="135">
        <v>0</v>
      </c>
      <c r="M63" s="135">
        <v>0</v>
      </c>
      <c r="N63" s="187">
        <f t="shared" si="1"/>
        <v>262</v>
      </c>
    </row>
    <row r="64" spans="2:14">
      <c r="B64" s="98"/>
      <c r="C64" s="99" t="s">
        <v>55</v>
      </c>
      <c r="D64" s="122" t="s">
        <v>130</v>
      </c>
      <c r="E64" s="188">
        <v>0</v>
      </c>
      <c r="F64" s="135">
        <v>0</v>
      </c>
      <c r="G64" s="135">
        <v>0</v>
      </c>
      <c r="H64" s="129">
        <f>+-14</f>
        <v>-14</v>
      </c>
      <c r="I64" s="135">
        <v>0</v>
      </c>
      <c r="J64" s="129">
        <v>-8</v>
      </c>
      <c r="K64" s="129">
        <v>-2</v>
      </c>
      <c r="L64" s="129">
        <v>-13</v>
      </c>
      <c r="M64" s="135">
        <v>0</v>
      </c>
      <c r="N64" s="187">
        <f t="shared" si="1"/>
        <v>-37</v>
      </c>
    </row>
    <row r="65" spans="2:14">
      <c r="B65" s="98"/>
      <c r="C65" s="99" t="s">
        <v>138</v>
      </c>
      <c r="D65" s="122" t="s">
        <v>131</v>
      </c>
      <c r="E65" s="135">
        <v>0</v>
      </c>
      <c r="F65" s="135">
        <v>0</v>
      </c>
      <c r="G65" s="135">
        <v>0</v>
      </c>
      <c r="H65" s="135">
        <v>0</v>
      </c>
      <c r="I65" s="135">
        <v>0</v>
      </c>
      <c r="J65" s="135">
        <v>0</v>
      </c>
      <c r="K65" s="135">
        <v>0</v>
      </c>
      <c r="L65" s="129">
        <v>1</v>
      </c>
      <c r="M65" s="135">
        <v>0</v>
      </c>
      <c r="N65" s="187">
        <f t="shared" si="1"/>
        <v>1</v>
      </c>
    </row>
    <row r="66" spans="2:14" ht="24">
      <c r="B66" s="98"/>
      <c r="C66" s="99" t="s">
        <v>57</v>
      </c>
      <c r="D66" s="94" t="s">
        <v>132</v>
      </c>
      <c r="E66" s="160">
        <v>0</v>
      </c>
      <c r="F66" s="129">
        <v>-2</v>
      </c>
      <c r="G66" s="135">
        <v>0</v>
      </c>
      <c r="H66" s="129">
        <v>-6</v>
      </c>
      <c r="I66" s="129">
        <v>-69</v>
      </c>
      <c r="J66" s="135">
        <v>0</v>
      </c>
      <c r="K66" s="135">
        <v>0</v>
      </c>
      <c r="L66" s="135">
        <v>0</v>
      </c>
      <c r="M66" s="135">
        <v>0</v>
      </c>
      <c r="N66" s="187">
        <f t="shared" si="1"/>
        <v>-77</v>
      </c>
    </row>
    <row r="67" spans="2:14">
      <c r="B67" s="98"/>
      <c r="C67" s="99" t="s">
        <v>58</v>
      </c>
      <c r="D67" s="122" t="s">
        <v>208</v>
      </c>
      <c r="E67" s="135">
        <v>0</v>
      </c>
      <c r="F67" s="135">
        <v>0</v>
      </c>
      <c r="G67" s="135">
        <v>0</v>
      </c>
      <c r="H67" s="135">
        <v>0</v>
      </c>
      <c r="I67" s="135">
        <v>0</v>
      </c>
      <c r="J67" s="135">
        <v>0</v>
      </c>
      <c r="K67" s="135">
        <v>0</v>
      </c>
      <c r="L67" s="135">
        <v>0</v>
      </c>
      <c r="M67" s="129">
        <v>-326</v>
      </c>
      <c r="N67" s="187">
        <f t="shared" si="1"/>
        <v>-326</v>
      </c>
    </row>
    <row r="68" spans="2:14" ht="12.75" thickBot="1">
      <c r="B68" s="189" t="s">
        <v>133</v>
      </c>
      <c r="C68" s="190"/>
      <c r="D68" s="191"/>
      <c r="E68" s="141">
        <f t="shared" ref="E68:N68" si="2">SUM(E62:E67)</f>
        <v>2548</v>
      </c>
      <c r="F68" s="141">
        <f t="shared" si="2"/>
        <v>783</v>
      </c>
      <c r="G68" s="141">
        <f t="shared" si="2"/>
        <v>73</v>
      </c>
      <c r="H68" s="141">
        <f t="shared" si="2"/>
        <v>153</v>
      </c>
      <c r="I68" s="141">
        <f t="shared" si="2"/>
        <v>40</v>
      </c>
      <c r="J68" s="141">
        <f t="shared" si="2"/>
        <v>265</v>
      </c>
      <c r="K68" s="141">
        <f t="shared" si="2"/>
        <v>223</v>
      </c>
      <c r="L68" s="141">
        <f t="shared" si="2"/>
        <v>110</v>
      </c>
      <c r="M68" s="141">
        <f t="shared" si="2"/>
        <v>0</v>
      </c>
      <c r="N68" s="192">
        <f t="shared" si="2"/>
        <v>1647</v>
      </c>
    </row>
    <row r="69" spans="2:14" ht="4.5" customHeight="1" thickTop="1" thickBot="1">
      <c r="B69" s="193"/>
      <c r="C69" s="194"/>
      <c r="D69" s="195"/>
      <c r="E69" s="194"/>
      <c r="F69" s="111"/>
      <c r="G69" s="111"/>
      <c r="H69" s="111"/>
      <c r="I69" s="111"/>
      <c r="J69" s="111"/>
      <c r="K69" s="111"/>
      <c r="L69" s="111"/>
      <c r="M69" s="111"/>
      <c r="N69" s="112"/>
    </row>
    <row r="70" spans="2:14" ht="12.75" thickBot="1">
      <c r="B70" s="196"/>
      <c r="C70" s="197"/>
      <c r="D70" s="198"/>
      <c r="E70" s="197"/>
      <c r="F70" s="197"/>
      <c r="G70" s="197"/>
      <c r="H70" s="197"/>
      <c r="I70" s="197"/>
      <c r="J70" s="197"/>
      <c r="K70" s="197"/>
      <c r="L70" s="197"/>
      <c r="M70" s="197"/>
      <c r="N70" s="197"/>
    </row>
    <row r="71" spans="2:14" ht="60">
      <c r="B71" s="199" t="str">
        <f>B61</f>
        <v>Three Months Ended December 31, 2010</v>
      </c>
      <c r="C71" s="200"/>
      <c r="D71" s="116"/>
      <c r="E71" s="117" t="s">
        <v>134</v>
      </c>
      <c r="F71" s="117" t="s">
        <v>135</v>
      </c>
      <c r="G71" s="117" t="s">
        <v>136</v>
      </c>
      <c r="H71" s="118" t="s">
        <v>137</v>
      </c>
      <c r="I71" s="168"/>
      <c r="J71" s="169"/>
      <c r="K71" s="170"/>
      <c r="L71" s="171"/>
      <c r="M71" s="171"/>
      <c r="N71" s="171"/>
    </row>
    <row r="72" spans="2:14">
      <c r="B72" s="183" t="s">
        <v>127</v>
      </c>
      <c r="C72" s="184"/>
      <c r="D72" s="122"/>
      <c r="E72" s="123">
        <f t="shared" ref="E72:E77" si="3">E62-N62</f>
        <v>-397</v>
      </c>
      <c r="F72" s="123">
        <v>-233</v>
      </c>
      <c r="G72" s="124">
        <v>-0.2</v>
      </c>
      <c r="H72" s="125">
        <v>-0.2</v>
      </c>
      <c r="I72" s="172"/>
      <c r="J72" s="173"/>
      <c r="K72" s="170"/>
      <c r="L72" s="171"/>
      <c r="M72" s="171"/>
      <c r="N72" s="171"/>
    </row>
    <row r="73" spans="2:14" ht="12" customHeight="1">
      <c r="B73" s="98"/>
      <c r="C73" s="99" t="s">
        <v>54</v>
      </c>
      <c r="D73" s="122" t="s">
        <v>129</v>
      </c>
      <c r="E73" s="128">
        <f t="shared" si="3"/>
        <v>859</v>
      </c>
      <c r="F73" s="129">
        <v>628</v>
      </c>
      <c r="G73" s="130">
        <v>0.52</v>
      </c>
      <c r="H73" s="131">
        <v>0.51</v>
      </c>
      <c r="I73" s="172"/>
      <c r="J73" s="172"/>
      <c r="K73" s="172"/>
      <c r="L73" s="172"/>
      <c r="M73" s="172"/>
      <c r="N73" s="174"/>
    </row>
    <row r="74" spans="2:14">
      <c r="B74" s="98"/>
      <c r="C74" s="99" t="s">
        <v>55</v>
      </c>
      <c r="D74" s="122" t="s">
        <v>130</v>
      </c>
      <c r="E74" s="128">
        <f t="shared" si="3"/>
        <v>37</v>
      </c>
      <c r="F74" s="129">
        <v>24</v>
      </c>
      <c r="G74" s="130">
        <v>0.02</v>
      </c>
      <c r="H74" s="131">
        <v>0.02</v>
      </c>
      <c r="I74" s="175"/>
      <c r="J74" s="175"/>
      <c r="K74" s="174"/>
      <c r="L74" s="174"/>
      <c r="M74" s="174"/>
      <c r="N74" s="174"/>
    </row>
    <row r="75" spans="2:14">
      <c r="B75" s="98"/>
      <c r="C75" s="99" t="s">
        <v>138</v>
      </c>
      <c r="D75" s="122" t="s">
        <v>131</v>
      </c>
      <c r="E75" s="128">
        <f t="shared" si="3"/>
        <v>-1</v>
      </c>
      <c r="F75" s="135">
        <v>0</v>
      </c>
      <c r="G75" s="135">
        <v>0</v>
      </c>
      <c r="H75" s="136">
        <v>0</v>
      </c>
      <c r="I75" s="176"/>
      <c r="J75" s="176"/>
      <c r="K75" s="177"/>
      <c r="L75" s="174"/>
      <c r="M75" s="174"/>
      <c r="N75" s="174"/>
    </row>
    <row r="76" spans="2:14" ht="24">
      <c r="B76" s="98"/>
      <c r="C76" s="99" t="s">
        <v>57</v>
      </c>
      <c r="D76" s="94" t="s">
        <v>132</v>
      </c>
      <c r="E76" s="201">
        <f t="shared" si="3"/>
        <v>77</v>
      </c>
      <c r="F76" s="129">
        <v>38</v>
      </c>
      <c r="G76" s="130">
        <v>0.03</v>
      </c>
      <c r="H76" s="131">
        <v>0.03</v>
      </c>
      <c r="I76" s="176"/>
      <c r="J76" s="176"/>
      <c r="K76" s="177"/>
      <c r="L76" s="174"/>
      <c r="M76" s="174"/>
      <c r="N76" s="174"/>
    </row>
    <row r="77" spans="2:14">
      <c r="B77" s="98"/>
      <c r="C77" s="99" t="s">
        <v>58</v>
      </c>
      <c r="D77" s="122" t="s">
        <v>208</v>
      </c>
      <c r="E77" s="128">
        <f t="shared" si="3"/>
        <v>326</v>
      </c>
      <c r="F77" s="129">
        <v>198</v>
      </c>
      <c r="G77" s="139">
        <v>0.16</v>
      </c>
      <c r="H77" s="202">
        <v>0.16</v>
      </c>
      <c r="I77" s="176"/>
      <c r="J77" s="176"/>
      <c r="K77" s="177"/>
      <c r="L77" s="174"/>
      <c r="M77" s="174"/>
      <c r="N77" s="174"/>
    </row>
    <row r="78" spans="2:14" ht="12.75" thickBot="1">
      <c r="B78" s="189" t="s">
        <v>133</v>
      </c>
      <c r="C78" s="190"/>
      <c r="D78" s="203"/>
      <c r="E78" s="141">
        <f>SUM(E72:E77)</f>
        <v>901</v>
      </c>
      <c r="F78" s="141">
        <f>SUM(F72:F77)</f>
        <v>655</v>
      </c>
      <c r="G78" s="142">
        <v>0.54</v>
      </c>
      <c r="H78" s="143">
        <v>0.53</v>
      </c>
      <c r="I78" s="178"/>
      <c r="J78" s="167"/>
      <c r="K78" s="167"/>
      <c r="L78" s="167"/>
      <c r="M78" s="167"/>
      <c r="N78" s="167"/>
    </row>
    <row r="79" spans="2:14" ht="4.5" customHeight="1" thickTop="1" thickBot="1">
      <c r="B79" s="204"/>
      <c r="C79" s="205"/>
      <c r="D79" s="206"/>
      <c r="E79" s="207"/>
      <c r="F79" s="207"/>
      <c r="G79" s="207"/>
      <c r="H79" s="208"/>
      <c r="I79" s="171"/>
      <c r="J79" s="167"/>
      <c r="K79" s="167"/>
      <c r="L79" s="167"/>
      <c r="M79" s="167"/>
      <c r="N79" s="167"/>
    </row>
    <row r="82" spans="2:14">
      <c r="B82" s="209"/>
      <c r="C82" s="603" t="s">
        <v>144</v>
      </c>
      <c r="D82" s="603"/>
      <c r="E82" s="603"/>
      <c r="F82" s="603"/>
      <c r="G82" s="603"/>
      <c r="H82" s="603"/>
      <c r="I82" s="603"/>
      <c r="J82" s="603"/>
      <c r="K82" s="603"/>
      <c r="L82" s="603"/>
      <c r="M82" s="603"/>
      <c r="N82" s="603"/>
    </row>
    <row r="83" spans="2:14">
      <c r="B83" s="209"/>
      <c r="C83" s="604" t="s">
        <v>145</v>
      </c>
      <c r="D83" s="604"/>
      <c r="E83" s="604"/>
      <c r="F83" s="604"/>
      <c r="G83" s="604"/>
      <c r="H83" s="604"/>
      <c r="I83" s="604"/>
      <c r="J83" s="604"/>
      <c r="K83" s="604"/>
      <c r="L83" s="604"/>
      <c r="M83" s="604"/>
      <c r="N83" s="604"/>
    </row>
    <row r="84" spans="2:14" ht="25.5" customHeight="1">
      <c r="B84" s="210"/>
      <c r="C84" s="597" t="s">
        <v>206</v>
      </c>
      <c r="D84" s="597"/>
      <c r="E84" s="597"/>
      <c r="F84" s="597"/>
      <c r="G84" s="597"/>
      <c r="H84" s="597"/>
      <c r="I84" s="597"/>
      <c r="J84" s="597"/>
      <c r="K84" s="597"/>
      <c r="L84" s="597"/>
      <c r="M84" s="597"/>
      <c r="N84" s="597"/>
    </row>
    <row r="85" spans="2:14">
      <c r="B85" s="210"/>
      <c r="C85" s="603" t="s">
        <v>159</v>
      </c>
      <c r="D85" s="603"/>
      <c r="E85" s="603"/>
      <c r="F85" s="603"/>
      <c r="G85" s="603"/>
      <c r="H85" s="603"/>
      <c r="I85" s="603"/>
      <c r="J85" s="603"/>
      <c r="K85" s="603"/>
      <c r="L85" s="603"/>
      <c r="M85" s="603"/>
      <c r="N85" s="603"/>
    </row>
    <row r="86" spans="2:14">
      <c r="B86" s="210"/>
      <c r="C86" s="603" t="s">
        <v>155</v>
      </c>
      <c r="D86" s="603"/>
      <c r="E86" s="603"/>
      <c r="F86" s="603"/>
      <c r="G86" s="603"/>
      <c r="H86" s="603"/>
      <c r="I86" s="603"/>
      <c r="J86" s="603"/>
      <c r="K86" s="603"/>
      <c r="L86" s="603"/>
      <c r="M86" s="603"/>
      <c r="N86" s="603"/>
    </row>
    <row r="87" spans="2:14">
      <c r="B87" s="210"/>
      <c r="C87" s="603" t="s">
        <v>209</v>
      </c>
      <c r="D87" s="603"/>
      <c r="E87" s="603"/>
      <c r="F87" s="603"/>
      <c r="G87" s="603"/>
      <c r="H87" s="603"/>
      <c r="I87" s="603"/>
      <c r="J87" s="603"/>
      <c r="K87" s="603"/>
      <c r="L87" s="603"/>
      <c r="M87" s="603"/>
      <c r="N87" s="603"/>
    </row>
    <row r="88" spans="2:14">
      <c r="B88" s="210"/>
      <c r="C88" s="211"/>
      <c r="D88" s="211"/>
      <c r="E88" s="211"/>
      <c r="F88" s="211"/>
      <c r="G88" s="211"/>
      <c r="H88" s="211"/>
      <c r="I88" s="211"/>
      <c r="J88" s="211"/>
      <c r="K88" s="211"/>
      <c r="L88" s="211"/>
      <c r="M88" s="211"/>
      <c r="N88" s="211"/>
    </row>
    <row r="89" spans="2:14" ht="24" customHeight="1">
      <c r="B89" s="210"/>
      <c r="C89" s="597" t="s">
        <v>147</v>
      </c>
      <c r="D89" s="597"/>
      <c r="E89" s="597"/>
      <c r="F89" s="597"/>
      <c r="G89" s="597"/>
      <c r="H89" s="597"/>
      <c r="I89" s="597"/>
      <c r="J89" s="597"/>
      <c r="K89" s="597"/>
      <c r="L89" s="597"/>
      <c r="M89" s="597"/>
      <c r="N89" s="597"/>
    </row>
  </sheetData>
  <sheetProtection formatCells="0" formatColumns="0" formatRows="0" sort="0" autoFilter="0" pivotTables="0"/>
  <mergeCells count="28">
    <mergeCell ref="C89:N89"/>
    <mergeCell ref="B16:C16"/>
    <mergeCell ref="B21:C21"/>
    <mergeCell ref="C82:N82"/>
    <mergeCell ref="C83:N83"/>
    <mergeCell ref="C84:N84"/>
    <mergeCell ref="B25:C25"/>
    <mergeCell ref="B26:C26"/>
    <mergeCell ref="B31:C31"/>
    <mergeCell ref="B34:C34"/>
    <mergeCell ref="B35:C35"/>
    <mergeCell ref="B40:C40"/>
    <mergeCell ref="B1:N1"/>
    <mergeCell ref="B2:N2"/>
    <mergeCell ref="B3:N3"/>
    <mergeCell ref="B7:C7"/>
    <mergeCell ref="B6:C6"/>
    <mergeCell ref="B12:C12"/>
    <mergeCell ref="B15:C15"/>
    <mergeCell ref="C87:N87"/>
    <mergeCell ref="B53:C53"/>
    <mergeCell ref="B57:C57"/>
    <mergeCell ref="B44:C44"/>
    <mergeCell ref="C86:N86"/>
    <mergeCell ref="B45:C45"/>
    <mergeCell ref="B49:C49"/>
    <mergeCell ref="B52:C52"/>
    <mergeCell ref="C85:N85"/>
  </mergeCells>
  <pageMargins left="0.7" right="0.7" top="0.25" bottom="0.44" header="0.3" footer="0.3"/>
  <pageSetup scale="48" orientation="portrait" r:id="rId1"/>
  <headerFooter>
    <oddFooter>&amp;LActivision Blizzard, Inc.&amp;R&amp;P of &amp; 17</oddFooter>
  </headerFooter>
  <rowBreaks count="1" manualBreakCount="1">
    <brk id="43" min="1"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5"/>
  <sheetViews>
    <sheetView view="pageBreakPreview" zoomScale="80" zoomScaleNormal="100" zoomScaleSheetLayoutView="80" workbookViewId="0">
      <selection activeCell="J17" sqref="J17"/>
    </sheetView>
  </sheetViews>
  <sheetFormatPr defaultRowHeight="12"/>
  <cols>
    <col min="1" max="1" width="2" style="217" customWidth="1"/>
    <col min="2" max="2" width="1.42578125" style="217" customWidth="1"/>
    <col min="3" max="3" width="57.140625" style="217" customWidth="1"/>
    <col min="4" max="4" width="4.5703125" style="268" bestFit="1" customWidth="1"/>
    <col min="5" max="5" width="9.28515625" style="217" customWidth="1"/>
    <col min="6" max="6" width="8.28515625" style="217" customWidth="1"/>
    <col min="7" max="7" width="12.7109375" style="217" customWidth="1"/>
    <col min="8" max="8" width="10.7109375" style="217" customWidth="1"/>
    <col min="9" max="9" width="9.28515625" style="217" customWidth="1"/>
    <col min="10" max="10" width="11.5703125" style="217" bestFit="1" customWidth="1"/>
    <col min="11" max="11" width="9.140625" style="217" bestFit="1" customWidth="1"/>
    <col min="12" max="12" width="12.7109375" style="217" bestFit="1" customWidth="1"/>
    <col min="13" max="13" width="12.140625" style="217" bestFit="1" customWidth="1"/>
    <col min="14" max="14" width="12.5703125" style="217" customWidth="1"/>
    <col min="15" max="15" width="12.42578125" style="217" customWidth="1"/>
    <col min="16" max="16384" width="9.140625" style="217"/>
  </cols>
  <sheetData>
    <row r="1" spans="2:14">
      <c r="B1" s="602" t="s">
        <v>76</v>
      </c>
      <c r="C1" s="602"/>
      <c r="D1" s="602"/>
      <c r="E1" s="602"/>
      <c r="F1" s="602"/>
      <c r="G1" s="602"/>
      <c r="H1" s="602"/>
      <c r="I1" s="602"/>
      <c r="J1" s="602"/>
      <c r="K1" s="602"/>
      <c r="L1" s="602"/>
      <c r="M1" s="602"/>
      <c r="N1" s="602"/>
    </row>
    <row r="2" spans="2:14">
      <c r="B2" s="602" t="s">
        <v>117</v>
      </c>
      <c r="C2" s="602"/>
      <c r="D2" s="602"/>
      <c r="E2" s="602"/>
      <c r="F2" s="602"/>
      <c r="G2" s="602"/>
      <c r="H2" s="602"/>
      <c r="I2" s="602"/>
      <c r="J2" s="602"/>
      <c r="K2" s="602"/>
      <c r="L2" s="602"/>
      <c r="M2" s="602"/>
      <c r="N2" s="602"/>
    </row>
    <row r="3" spans="2:14">
      <c r="B3" s="602" t="s">
        <v>118</v>
      </c>
      <c r="C3" s="602"/>
      <c r="D3" s="602"/>
      <c r="E3" s="602"/>
      <c r="F3" s="602"/>
      <c r="G3" s="602"/>
      <c r="H3" s="602"/>
      <c r="I3" s="602"/>
      <c r="J3" s="602"/>
      <c r="K3" s="602"/>
      <c r="L3" s="602"/>
      <c r="M3" s="602"/>
      <c r="N3" s="602"/>
    </row>
    <row r="4" spans="2:14">
      <c r="B4" s="85"/>
      <c r="C4" s="85"/>
      <c r="D4" s="85"/>
      <c r="E4" s="85"/>
      <c r="F4" s="85"/>
      <c r="G4" s="85"/>
      <c r="H4" s="85"/>
      <c r="I4" s="85"/>
      <c r="J4" s="85"/>
      <c r="K4" s="85"/>
      <c r="L4" s="85"/>
      <c r="M4" s="85"/>
      <c r="N4" s="85"/>
    </row>
    <row r="5" spans="2:14" ht="12.75" thickBot="1">
      <c r="B5" s="86"/>
      <c r="C5" s="87"/>
      <c r="D5" s="88"/>
      <c r="E5" s="87"/>
      <c r="F5" s="87"/>
      <c r="G5" s="88"/>
      <c r="H5" s="88"/>
      <c r="I5" s="88"/>
      <c r="J5" s="88"/>
    </row>
    <row r="6" spans="2:14" ht="62.25" customHeight="1">
      <c r="B6" s="218" t="s">
        <v>162</v>
      </c>
      <c r="C6" s="219"/>
      <c r="D6" s="182"/>
      <c r="E6" s="220" t="s">
        <v>119</v>
      </c>
      <c r="F6" s="220" t="s">
        <v>120</v>
      </c>
      <c r="G6" s="220" t="s">
        <v>121</v>
      </c>
      <c r="H6" s="220" t="s">
        <v>122</v>
      </c>
      <c r="I6" s="91" t="s">
        <v>285</v>
      </c>
      <c r="J6" s="220" t="s">
        <v>123</v>
      </c>
      <c r="K6" s="220" t="s">
        <v>124</v>
      </c>
      <c r="L6" s="220" t="s">
        <v>125</v>
      </c>
      <c r="M6" s="220" t="s">
        <v>50</v>
      </c>
      <c r="N6" s="92" t="s">
        <v>126</v>
      </c>
    </row>
    <row r="7" spans="2:14">
      <c r="B7" s="221" t="s">
        <v>127</v>
      </c>
      <c r="C7" s="222"/>
      <c r="D7" s="185"/>
      <c r="E7" s="223">
        <v>981</v>
      </c>
      <c r="F7" s="223">
        <v>296</v>
      </c>
      <c r="G7" s="223">
        <v>72</v>
      </c>
      <c r="H7" s="223">
        <v>64</v>
      </c>
      <c r="I7" s="223">
        <v>52</v>
      </c>
      <c r="J7" s="223">
        <v>117</v>
      </c>
      <c r="K7" s="223">
        <v>83</v>
      </c>
      <c r="L7" s="223">
        <v>103</v>
      </c>
      <c r="M7" s="223">
        <v>15</v>
      </c>
      <c r="N7" s="224">
        <v>802</v>
      </c>
    </row>
    <row r="8" spans="2:14">
      <c r="B8" s="98"/>
      <c r="C8" s="225" t="s">
        <v>54</v>
      </c>
      <c r="D8" s="122" t="s">
        <v>129</v>
      </c>
      <c r="E8" s="226">
        <v>-256</v>
      </c>
      <c r="F8" s="226">
        <v>-57</v>
      </c>
      <c r="G8" s="226">
        <v>-23</v>
      </c>
      <c r="H8" s="226">
        <v>-9</v>
      </c>
      <c r="I8" s="226">
        <v>0</v>
      </c>
      <c r="J8" s="226">
        <v>0</v>
      </c>
      <c r="K8" s="226">
        <v>0</v>
      </c>
      <c r="L8" s="226">
        <v>0</v>
      </c>
      <c r="M8" s="226">
        <v>0</v>
      </c>
      <c r="N8" s="227">
        <v>-89</v>
      </c>
    </row>
    <row r="9" spans="2:14" ht="24">
      <c r="B9" s="98"/>
      <c r="C9" s="99" t="s">
        <v>157</v>
      </c>
      <c r="D9" s="122" t="s">
        <v>130</v>
      </c>
      <c r="E9" s="226">
        <v>0</v>
      </c>
      <c r="F9" s="226">
        <v>0</v>
      </c>
      <c r="G9" s="226">
        <v>-4</v>
      </c>
      <c r="H9" s="226">
        <v>0</v>
      </c>
      <c r="I9" s="226">
        <v>0</v>
      </c>
      <c r="J9" s="226">
        <v>-9</v>
      </c>
      <c r="K9" s="226">
        <v>-3</v>
      </c>
      <c r="L9" s="226">
        <v>-12</v>
      </c>
      <c r="M9" s="226">
        <v>0</v>
      </c>
      <c r="N9" s="227">
        <v>-28</v>
      </c>
    </row>
    <row r="10" spans="2:14">
      <c r="B10" s="98"/>
      <c r="C10" s="99" t="s">
        <v>149</v>
      </c>
      <c r="D10" s="122" t="s">
        <v>150</v>
      </c>
      <c r="E10" s="226">
        <v>-1</v>
      </c>
      <c r="F10" s="226">
        <v>0</v>
      </c>
      <c r="G10" s="226">
        <v>0</v>
      </c>
      <c r="H10" s="226">
        <v>0</v>
      </c>
      <c r="I10" s="226">
        <v>0</v>
      </c>
      <c r="J10" s="226">
        <v>3</v>
      </c>
      <c r="K10" s="226">
        <v>-2</v>
      </c>
      <c r="L10" s="226">
        <v>-6</v>
      </c>
      <c r="M10" s="226">
        <v>0</v>
      </c>
      <c r="N10" s="227">
        <v>-5</v>
      </c>
    </row>
    <row r="11" spans="2:14" ht="24">
      <c r="B11" s="98"/>
      <c r="C11" s="99" t="s">
        <v>59</v>
      </c>
      <c r="D11" s="228" t="s">
        <v>139</v>
      </c>
      <c r="E11" s="226">
        <v>0</v>
      </c>
      <c r="F11" s="226">
        <v>0</v>
      </c>
      <c r="G11" s="226">
        <v>0</v>
      </c>
      <c r="H11" s="226">
        <v>0</v>
      </c>
      <c r="I11" s="226">
        <v>0</v>
      </c>
      <c r="J11" s="226">
        <v>0</v>
      </c>
      <c r="K11" s="226">
        <v>0</v>
      </c>
      <c r="L11" s="226">
        <v>-14</v>
      </c>
      <c r="M11" s="226">
        <v>-15</v>
      </c>
      <c r="N11" s="227">
        <v>-29</v>
      </c>
    </row>
    <row r="12" spans="2:14" ht="24">
      <c r="B12" s="98"/>
      <c r="C12" s="229" t="s">
        <v>151</v>
      </c>
      <c r="D12" s="228" t="s">
        <v>132</v>
      </c>
      <c r="E12" s="226">
        <v>0</v>
      </c>
      <c r="F12" s="226">
        <v>-1</v>
      </c>
      <c r="G12" s="226">
        <v>-17</v>
      </c>
      <c r="H12" s="226">
        <v>-27</v>
      </c>
      <c r="I12" s="226">
        <v>0</v>
      </c>
      <c r="J12" s="226">
        <v>0</v>
      </c>
      <c r="K12" s="226">
        <v>0</v>
      </c>
      <c r="L12" s="226">
        <v>-1</v>
      </c>
      <c r="M12" s="226">
        <v>0</v>
      </c>
      <c r="N12" s="227">
        <v>-46</v>
      </c>
    </row>
    <row r="13" spans="2:14" ht="12.75" thickBot="1">
      <c r="B13" s="230" t="s">
        <v>133</v>
      </c>
      <c r="C13" s="231"/>
      <c r="D13" s="232"/>
      <c r="E13" s="233">
        <v>724</v>
      </c>
      <c r="F13" s="233">
        <v>238</v>
      </c>
      <c r="G13" s="233">
        <v>28</v>
      </c>
      <c r="H13" s="233">
        <v>28</v>
      </c>
      <c r="I13" s="233">
        <v>52</v>
      </c>
      <c r="J13" s="233">
        <v>111</v>
      </c>
      <c r="K13" s="233">
        <v>78</v>
      </c>
      <c r="L13" s="233">
        <v>70</v>
      </c>
      <c r="M13" s="233">
        <v>0</v>
      </c>
      <c r="N13" s="234">
        <v>605</v>
      </c>
    </row>
    <row r="14" spans="2:14" ht="5.25" customHeight="1" thickTop="1" thickBot="1">
      <c r="B14" s="235"/>
      <c r="C14" s="236"/>
      <c r="D14" s="237"/>
      <c r="E14" s="236"/>
      <c r="F14" s="236"/>
      <c r="G14" s="236"/>
      <c r="H14" s="236"/>
      <c r="I14" s="236"/>
      <c r="J14" s="236"/>
      <c r="K14" s="236"/>
      <c r="L14" s="236"/>
      <c r="M14" s="236"/>
      <c r="N14" s="238"/>
    </row>
    <row r="15" spans="2:14" ht="12.75" thickBot="1">
      <c r="B15" s="239"/>
      <c r="C15" s="240"/>
      <c r="D15" s="241"/>
      <c r="E15" s="240"/>
      <c r="F15" s="240"/>
      <c r="G15" s="240"/>
      <c r="H15" s="240"/>
      <c r="I15" s="240"/>
      <c r="J15" s="240"/>
      <c r="K15" s="240"/>
      <c r="L15" s="240"/>
      <c r="M15" s="240"/>
      <c r="N15" s="240"/>
    </row>
    <row r="16" spans="2:14" ht="36">
      <c r="B16" s="242" t="s">
        <v>162</v>
      </c>
      <c r="C16" s="243"/>
      <c r="D16" s="116"/>
      <c r="E16" s="244" t="s">
        <v>140</v>
      </c>
      <c r="F16" s="244" t="s">
        <v>141</v>
      </c>
      <c r="G16" s="244" t="s">
        <v>142</v>
      </c>
      <c r="H16" s="118" t="s">
        <v>143</v>
      </c>
      <c r="I16" s="119"/>
      <c r="J16" s="245" t="s">
        <v>161</v>
      </c>
      <c r="K16" s="246">
        <v>591</v>
      </c>
      <c r="L16" s="239"/>
      <c r="M16" s="239"/>
      <c r="N16" s="239"/>
    </row>
    <row r="17" spans="2:14">
      <c r="B17" s="98" t="s">
        <v>127</v>
      </c>
      <c r="C17" s="225"/>
      <c r="D17" s="122"/>
      <c r="E17" s="247">
        <v>179</v>
      </c>
      <c r="F17" s="223">
        <v>189</v>
      </c>
      <c r="G17" s="248">
        <v>0.14449541284403669</v>
      </c>
      <c r="H17" s="249">
        <v>0.13907284768211919</v>
      </c>
      <c r="I17" s="250"/>
      <c r="J17" s="240"/>
      <c r="K17" s="240"/>
      <c r="L17" s="240"/>
      <c r="M17" s="240"/>
      <c r="N17" s="251"/>
    </row>
    <row r="18" spans="2:14" ht="24">
      <c r="B18" s="98"/>
      <c r="C18" s="99" t="s">
        <v>54</v>
      </c>
      <c r="D18" s="122" t="s">
        <v>129</v>
      </c>
      <c r="E18" s="252">
        <v>-167</v>
      </c>
      <c r="F18" s="226">
        <v>-134</v>
      </c>
      <c r="G18" s="253">
        <v>-9.1649684193661582E-2</v>
      </c>
      <c r="H18" s="254">
        <v>-8.7873867695099542E-2</v>
      </c>
      <c r="I18" s="250"/>
      <c r="J18" s="240"/>
      <c r="K18" s="240"/>
      <c r="L18" s="240"/>
      <c r="M18" s="240"/>
      <c r="N18" s="255"/>
    </row>
    <row r="19" spans="2:14" ht="24">
      <c r="B19" s="98"/>
      <c r="C19" s="99" t="s">
        <v>157</v>
      </c>
      <c r="D19" s="122" t="s">
        <v>130</v>
      </c>
      <c r="E19" s="252">
        <v>28</v>
      </c>
      <c r="F19" s="226">
        <v>17</v>
      </c>
      <c r="G19" s="253">
        <v>1.2895855457404827E-2</v>
      </c>
      <c r="H19" s="254">
        <v>1.2416833961318598E-2</v>
      </c>
      <c r="I19" s="256"/>
      <c r="J19" s="240"/>
      <c r="K19" s="240"/>
      <c r="L19" s="240"/>
      <c r="M19" s="240"/>
      <c r="N19" s="255"/>
    </row>
    <row r="20" spans="2:14">
      <c r="B20" s="98"/>
      <c r="C20" s="99" t="s">
        <v>149</v>
      </c>
      <c r="D20" s="122" t="s">
        <v>150</v>
      </c>
      <c r="E20" s="252">
        <v>4</v>
      </c>
      <c r="F20" s="226">
        <v>3</v>
      </c>
      <c r="G20" s="253">
        <v>2.2757391983655581E-3</v>
      </c>
      <c r="H20" s="254">
        <v>2.1912059931738703E-3</v>
      </c>
      <c r="I20" s="257"/>
      <c r="J20" s="240"/>
      <c r="K20" s="240"/>
      <c r="L20" s="240"/>
      <c r="M20" s="240"/>
      <c r="N20" s="255"/>
    </row>
    <row r="21" spans="2:14" ht="24">
      <c r="B21" s="98"/>
      <c r="C21" s="99" t="s">
        <v>59</v>
      </c>
      <c r="D21" s="228" t="s">
        <v>139</v>
      </c>
      <c r="E21" s="252">
        <v>29</v>
      </c>
      <c r="F21" s="226">
        <v>17</v>
      </c>
      <c r="G21" s="253">
        <v>1.2895855457404827E-2</v>
      </c>
      <c r="H21" s="254">
        <v>1.2416833961318598E-2</v>
      </c>
      <c r="I21" s="257"/>
      <c r="J21" s="240"/>
      <c r="K21" s="240"/>
      <c r="L21" s="240"/>
      <c r="M21" s="240"/>
      <c r="N21" s="255"/>
    </row>
    <row r="22" spans="2:14" ht="24">
      <c r="B22" s="98"/>
      <c r="C22" s="229" t="s">
        <v>151</v>
      </c>
      <c r="D22" s="228" t="s">
        <v>132</v>
      </c>
      <c r="E22" s="252">
        <v>46</v>
      </c>
      <c r="F22" s="252">
        <v>19</v>
      </c>
      <c r="G22" s="253">
        <v>1.4413014922981866E-2</v>
      </c>
      <c r="H22" s="254">
        <v>1.3877637956767845E-2</v>
      </c>
      <c r="I22" s="257"/>
      <c r="J22" s="240"/>
      <c r="K22" s="240"/>
      <c r="L22" s="240"/>
      <c r="M22" s="240"/>
      <c r="N22" s="255"/>
    </row>
    <row r="23" spans="2:14" ht="12.75" thickBot="1">
      <c r="B23" s="258" t="s">
        <v>133</v>
      </c>
      <c r="C23" s="239"/>
      <c r="D23" s="259"/>
      <c r="E23" s="233">
        <v>119</v>
      </c>
      <c r="F23" s="233">
        <v>111</v>
      </c>
      <c r="G23" s="260">
        <v>8.4202350339525639E-2</v>
      </c>
      <c r="H23" s="261">
        <v>8.1074621747433198E-2</v>
      </c>
      <c r="J23" s="240"/>
      <c r="K23" s="240"/>
      <c r="L23" s="240"/>
      <c r="M23" s="240"/>
      <c r="N23" s="255"/>
    </row>
    <row r="24" spans="2:14" ht="5.25" customHeight="1" thickTop="1" thickBot="1">
      <c r="B24" s="262"/>
      <c r="C24" s="263"/>
      <c r="D24" s="264"/>
      <c r="E24" s="265"/>
      <c r="F24" s="265"/>
      <c r="G24" s="266"/>
      <c r="H24" s="267"/>
      <c r="I24" s="239"/>
      <c r="J24" s="240" t="s">
        <v>278</v>
      </c>
      <c r="K24" s="240"/>
      <c r="L24" s="240"/>
      <c r="M24" s="240"/>
      <c r="N24" s="240"/>
    </row>
    <row r="26" spans="2:14" ht="12.75" thickBot="1"/>
    <row r="27" spans="2:14" ht="60" customHeight="1">
      <c r="B27" s="218" t="s">
        <v>160</v>
      </c>
      <c r="C27" s="219"/>
      <c r="D27" s="182"/>
      <c r="E27" s="220" t="s">
        <v>119</v>
      </c>
      <c r="F27" s="220" t="s">
        <v>120</v>
      </c>
      <c r="G27" s="220" t="s">
        <v>121</v>
      </c>
      <c r="H27" s="220" t="s">
        <v>122</v>
      </c>
      <c r="I27" s="91" t="s">
        <v>285</v>
      </c>
      <c r="J27" s="220" t="s">
        <v>123</v>
      </c>
      <c r="K27" s="220" t="s">
        <v>124</v>
      </c>
      <c r="L27" s="220" t="s">
        <v>125</v>
      </c>
      <c r="M27" s="220" t="s">
        <v>50</v>
      </c>
      <c r="N27" s="92" t="s">
        <v>126</v>
      </c>
    </row>
    <row r="28" spans="2:14">
      <c r="B28" s="221" t="s">
        <v>127</v>
      </c>
      <c r="C28" s="222"/>
      <c r="D28" s="185"/>
      <c r="E28" s="269">
        <v>1038</v>
      </c>
      <c r="F28" s="269">
        <v>281</v>
      </c>
      <c r="G28" s="269">
        <v>86</v>
      </c>
      <c r="H28" s="269">
        <v>54</v>
      </c>
      <c r="I28" s="269">
        <v>51</v>
      </c>
      <c r="J28" s="269">
        <v>123</v>
      </c>
      <c r="K28" s="269">
        <v>118</v>
      </c>
      <c r="L28" s="269">
        <v>92</v>
      </c>
      <c r="M28" s="269">
        <v>15</v>
      </c>
      <c r="N28" s="270">
        <v>820</v>
      </c>
    </row>
    <row r="29" spans="2:14" ht="24">
      <c r="B29" s="98"/>
      <c r="C29" s="99" t="s">
        <v>54</v>
      </c>
      <c r="D29" s="122" t="s">
        <v>129</v>
      </c>
      <c r="E29" s="271">
        <v>-237</v>
      </c>
      <c r="F29" s="271">
        <v>-43</v>
      </c>
      <c r="G29" s="271">
        <v>-28</v>
      </c>
      <c r="H29" s="271">
        <v>-2</v>
      </c>
      <c r="I29" s="271">
        <v>0</v>
      </c>
      <c r="J29" s="271">
        <v>0</v>
      </c>
      <c r="K29" s="271">
        <v>0</v>
      </c>
      <c r="L29" s="271">
        <v>0</v>
      </c>
      <c r="M29" s="271">
        <v>0</v>
      </c>
      <c r="N29" s="272">
        <v>-73</v>
      </c>
    </row>
    <row r="30" spans="2:14" ht="24">
      <c r="B30" s="98"/>
      <c r="C30" s="99" t="s">
        <v>157</v>
      </c>
      <c r="D30" s="122" t="s">
        <v>130</v>
      </c>
      <c r="E30" s="271">
        <v>0</v>
      </c>
      <c r="F30" s="271">
        <v>0</v>
      </c>
      <c r="G30" s="271">
        <v>-10</v>
      </c>
      <c r="H30" s="271">
        <v>0</v>
      </c>
      <c r="I30" s="271">
        <v>0</v>
      </c>
      <c r="J30" s="271">
        <v>-8</v>
      </c>
      <c r="K30" s="271">
        <v>-4</v>
      </c>
      <c r="L30" s="271">
        <v>-21</v>
      </c>
      <c r="M30" s="271">
        <v>0</v>
      </c>
      <c r="N30" s="272">
        <v>-43</v>
      </c>
    </row>
    <row r="31" spans="2:14">
      <c r="B31" s="98"/>
      <c r="C31" s="99" t="s">
        <v>149</v>
      </c>
      <c r="D31" s="122" t="s">
        <v>150</v>
      </c>
      <c r="E31" s="271">
        <v>0</v>
      </c>
      <c r="F31" s="271">
        <v>0</v>
      </c>
      <c r="G31" s="271">
        <v>0</v>
      </c>
      <c r="H31" s="271">
        <v>0</v>
      </c>
      <c r="I31" s="271">
        <v>0</v>
      </c>
      <c r="J31" s="271">
        <v>1</v>
      </c>
      <c r="K31" s="271">
        <v>0</v>
      </c>
      <c r="L31" s="271">
        <v>-4</v>
      </c>
      <c r="M31" s="271">
        <v>0</v>
      </c>
      <c r="N31" s="272">
        <v>-3</v>
      </c>
    </row>
    <row r="32" spans="2:14" ht="24">
      <c r="B32" s="98"/>
      <c r="C32" s="99" t="s">
        <v>59</v>
      </c>
      <c r="D32" s="228" t="s">
        <v>139</v>
      </c>
      <c r="E32" s="271">
        <v>0</v>
      </c>
      <c r="F32" s="271">
        <v>0</v>
      </c>
      <c r="G32" s="271">
        <v>0</v>
      </c>
      <c r="H32" s="271">
        <v>0</v>
      </c>
      <c r="I32" s="271">
        <v>0</v>
      </c>
      <c r="J32" s="271">
        <v>0</v>
      </c>
      <c r="K32" s="271">
        <v>0</v>
      </c>
      <c r="L32" s="271">
        <v>-3</v>
      </c>
      <c r="M32" s="271">
        <v>-15</v>
      </c>
      <c r="N32" s="272">
        <v>-18</v>
      </c>
    </row>
    <row r="33" spans="2:14" ht="24">
      <c r="B33" s="98"/>
      <c r="C33" s="229" t="s">
        <v>151</v>
      </c>
      <c r="D33" s="228" t="s">
        <v>132</v>
      </c>
      <c r="E33" s="271">
        <v>0</v>
      </c>
      <c r="F33" s="271">
        <v>-1</v>
      </c>
      <c r="G33" s="271">
        <v>-12</v>
      </c>
      <c r="H33" s="271">
        <v>-24</v>
      </c>
      <c r="I33" s="271">
        <v>0</v>
      </c>
      <c r="J33" s="271">
        <v>0</v>
      </c>
      <c r="K33" s="271">
        <v>0</v>
      </c>
      <c r="L33" s="271">
        <v>-1</v>
      </c>
      <c r="M33" s="271">
        <v>0</v>
      </c>
      <c r="N33" s="272">
        <v>-38</v>
      </c>
    </row>
    <row r="34" spans="2:14" ht="12.75" thickBot="1">
      <c r="B34" s="230" t="s">
        <v>133</v>
      </c>
      <c r="C34" s="231"/>
      <c r="D34" s="232"/>
      <c r="E34" s="273">
        <v>801</v>
      </c>
      <c r="F34" s="273">
        <v>237</v>
      </c>
      <c r="G34" s="273">
        <v>36</v>
      </c>
      <c r="H34" s="273">
        <v>28</v>
      </c>
      <c r="I34" s="273">
        <v>51</v>
      </c>
      <c r="J34" s="273">
        <v>116</v>
      </c>
      <c r="K34" s="273">
        <v>114</v>
      </c>
      <c r="L34" s="273">
        <v>63</v>
      </c>
      <c r="M34" s="273">
        <v>0</v>
      </c>
      <c r="N34" s="274">
        <v>645</v>
      </c>
    </row>
    <row r="35" spans="2:14" ht="4.5" customHeight="1" thickTop="1" thickBot="1">
      <c r="B35" s="235"/>
      <c r="C35" s="236"/>
      <c r="D35" s="237"/>
      <c r="E35" s="236"/>
      <c r="F35" s="236"/>
      <c r="G35" s="236"/>
      <c r="H35" s="236"/>
      <c r="I35" s="236"/>
      <c r="J35" s="236"/>
      <c r="K35" s="236"/>
      <c r="L35" s="236"/>
      <c r="M35" s="236"/>
      <c r="N35" s="238"/>
    </row>
    <row r="36" spans="2:14" ht="12.75" thickBot="1">
      <c r="B36" s="239"/>
      <c r="C36" s="240"/>
      <c r="D36" s="241"/>
      <c r="E36" s="240"/>
      <c r="F36" s="240"/>
      <c r="G36" s="240"/>
      <c r="H36" s="240"/>
      <c r="I36" s="240"/>
      <c r="J36" s="240"/>
      <c r="K36" s="240"/>
      <c r="L36" s="240"/>
      <c r="M36" s="240"/>
      <c r="N36" s="240"/>
    </row>
    <row r="37" spans="2:14" ht="36">
      <c r="B37" s="242" t="s">
        <v>160</v>
      </c>
      <c r="C37" s="243"/>
      <c r="D37" s="116"/>
      <c r="E37" s="244" t="s">
        <v>140</v>
      </c>
      <c r="F37" s="244" t="s">
        <v>141</v>
      </c>
      <c r="G37" s="244" t="s">
        <v>142</v>
      </c>
      <c r="H37" s="118" t="s">
        <v>143</v>
      </c>
      <c r="I37" s="119"/>
      <c r="J37" s="245" t="s">
        <v>161</v>
      </c>
      <c r="K37" s="275">
        <v>591</v>
      </c>
      <c r="L37" s="239"/>
      <c r="M37" s="239"/>
      <c r="N37" s="239"/>
    </row>
    <row r="38" spans="2:14">
      <c r="B38" s="98" t="s">
        <v>127</v>
      </c>
      <c r="C38" s="225"/>
      <c r="D38" s="122"/>
      <c r="E38" s="276">
        <v>218</v>
      </c>
      <c r="F38" s="269">
        <v>195</v>
      </c>
      <c r="G38" s="277">
        <v>0.15</v>
      </c>
      <c r="H38" s="278">
        <v>0.15</v>
      </c>
      <c r="I38" s="279"/>
      <c r="J38" s="240"/>
      <c r="K38" s="240"/>
      <c r="L38" s="240"/>
      <c r="M38" s="240"/>
      <c r="N38" s="251"/>
    </row>
    <row r="39" spans="2:14" ht="24">
      <c r="B39" s="98"/>
      <c r="C39" s="99" t="s">
        <v>54</v>
      </c>
      <c r="D39" s="122" t="s">
        <v>129</v>
      </c>
      <c r="E39" s="280">
        <v>-164</v>
      </c>
      <c r="F39" s="271">
        <v>-145</v>
      </c>
      <c r="G39" s="281">
        <v>-0.11158122337661956</v>
      </c>
      <c r="H39" s="282">
        <v>-0.10806937631866606</v>
      </c>
      <c r="I39" s="279"/>
      <c r="J39" s="240"/>
      <c r="K39" s="240"/>
      <c r="L39" s="240"/>
      <c r="M39" s="240"/>
      <c r="N39" s="283"/>
    </row>
    <row r="40" spans="2:14" ht="24">
      <c r="B40" s="98"/>
      <c r="C40" s="99" t="s">
        <v>157</v>
      </c>
      <c r="D40" s="122" t="s">
        <v>130</v>
      </c>
      <c r="E40" s="280">
        <v>43</v>
      </c>
      <c r="F40" s="271">
        <v>27</v>
      </c>
      <c r="G40" s="281">
        <v>2.077719331840502E-2</v>
      </c>
      <c r="H40" s="282">
        <v>2.0123263176579198E-2</v>
      </c>
      <c r="I40" s="284"/>
      <c r="J40" s="240"/>
      <c r="K40" s="240"/>
      <c r="L40" s="240"/>
      <c r="M40" s="240"/>
      <c r="N40" s="283"/>
    </row>
    <row r="41" spans="2:14">
      <c r="B41" s="98"/>
      <c r="C41" s="99" t="s">
        <v>149</v>
      </c>
      <c r="D41" s="122" t="s">
        <v>150</v>
      </c>
      <c r="E41" s="280">
        <v>3</v>
      </c>
      <c r="F41" s="271">
        <v>2</v>
      </c>
      <c r="G41" s="281">
        <v>1.5390513569188905E-3</v>
      </c>
      <c r="H41" s="282">
        <v>1.4906120871540146E-3</v>
      </c>
      <c r="I41" s="285"/>
      <c r="J41" s="240"/>
      <c r="K41" s="240"/>
      <c r="L41" s="240"/>
      <c r="M41" s="240"/>
      <c r="N41" s="283"/>
    </row>
    <row r="42" spans="2:14" ht="24">
      <c r="B42" s="98"/>
      <c r="C42" s="99" t="s">
        <v>59</v>
      </c>
      <c r="D42" s="228" t="s">
        <v>139</v>
      </c>
      <c r="E42" s="280">
        <v>18</v>
      </c>
      <c r="F42" s="271">
        <v>11</v>
      </c>
      <c r="G42" s="281">
        <v>8.4647824630538979E-3</v>
      </c>
      <c r="H42" s="282">
        <v>8.1983664793470797E-3</v>
      </c>
      <c r="I42" s="285"/>
      <c r="J42" s="240"/>
      <c r="K42" s="240"/>
      <c r="L42" s="240"/>
      <c r="M42" s="240"/>
      <c r="N42" s="283"/>
    </row>
    <row r="43" spans="2:14" ht="24">
      <c r="B43" s="98"/>
      <c r="C43" s="229" t="s">
        <v>151</v>
      </c>
      <c r="D43" s="228" t="s">
        <v>132</v>
      </c>
      <c r="E43" s="280">
        <v>38</v>
      </c>
      <c r="F43" s="280">
        <v>22</v>
      </c>
      <c r="G43" s="281">
        <v>1.6929564926107796E-2</v>
      </c>
      <c r="H43" s="282">
        <v>1.6396732958694159E-2</v>
      </c>
      <c r="I43" s="285"/>
      <c r="J43" s="240"/>
      <c r="K43" s="240"/>
      <c r="L43" s="240"/>
      <c r="M43" s="240"/>
      <c r="N43" s="283"/>
    </row>
    <row r="44" spans="2:14" ht="12.75" thickBot="1">
      <c r="B44" s="258" t="s">
        <v>133</v>
      </c>
      <c r="C44" s="239"/>
      <c r="D44" s="259"/>
      <c r="E44" s="273">
        <v>156</v>
      </c>
      <c r="F44" s="273">
        <v>112</v>
      </c>
      <c r="G44" s="286">
        <v>8.6186875987457862E-2</v>
      </c>
      <c r="H44" s="287">
        <v>8.3474276880624823E-2</v>
      </c>
      <c r="J44" s="240"/>
      <c r="K44" s="240"/>
      <c r="L44" s="240"/>
      <c r="M44" s="240"/>
      <c r="N44" s="283"/>
    </row>
    <row r="45" spans="2:14" ht="4.5" customHeight="1" thickTop="1" thickBot="1">
      <c r="B45" s="262"/>
      <c r="C45" s="263"/>
      <c r="D45" s="264"/>
      <c r="E45" s="265"/>
      <c r="F45" s="265"/>
      <c r="G45" s="266"/>
      <c r="H45" s="267"/>
      <c r="I45" s="239"/>
      <c r="J45" s="240"/>
      <c r="K45" s="240"/>
      <c r="L45" s="240"/>
      <c r="M45" s="240"/>
      <c r="N45" s="240"/>
    </row>
    <row r="46" spans="2:14">
      <c r="B46" s="239"/>
      <c r="C46" s="239"/>
      <c r="D46" s="288"/>
      <c r="E46" s="239"/>
      <c r="F46" s="239"/>
      <c r="G46" s="289"/>
      <c r="H46" s="289"/>
      <c r="I46" s="239"/>
      <c r="J46" s="240"/>
      <c r="K46" s="240"/>
      <c r="L46" s="240"/>
    </row>
    <row r="47" spans="2:14" ht="12.75" thickBot="1">
      <c r="B47" s="239"/>
      <c r="C47" s="239"/>
      <c r="D47" s="288"/>
      <c r="E47" s="239"/>
      <c r="F47" s="289"/>
      <c r="G47" s="240"/>
      <c r="H47" s="240"/>
      <c r="I47" s="240"/>
    </row>
    <row r="48" spans="2:14" ht="63" customHeight="1">
      <c r="B48" s="180" t="s">
        <v>27</v>
      </c>
      <c r="C48" s="181"/>
      <c r="D48" s="290"/>
      <c r="E48" s="91" t="s">
        <v>119</v>
      </c>
      <c r="F48" s="91" t="s">
        <v>120</v>
      </c>
      <c r="G48" s="91" t="s">
        <v>121</v>
      </c>
      <c r="H48" s="91" t="s">
        <v>122</v>
      </c>
      <c r="I48" s="91" t="s">
        <v>285</v>
      </c>
      <c r="J48" s="91" t="s">
        <v>123</v>
      </c>
      <c r="K48" s="91" t="s">
        <v>124</v>
      </c>
      <c r="L48" s="91" t="s">
        <v>125</v>
      </c>
      <c r="M48" s="91" t="s">
        <v>50</v>
      </c>
      <c r="N48" s="92" t="s">
        <v>126</v>
      </c>
    </row>
    <row r="49" spans="2:14">
      <c r="B49" s="598" t="s">
        <v>127</v>
      </c>
      <c r="C49" s="599"/>
      <c r="D49" s="185"/>
      <c r="E49" s="123">
        <v>703</v>
      </c>
      <c r="F49" s="123">
        <v>185</v>
      </c>
      <c r="G49" s="123">
        <v>54</v>
      </c>
      <c r="H49" s="123">
        <v>45</v>
      </c>
      <c r="I49" s="123">
        <v>55</v>
      </c>
      <c r="J49" s="123">
        <v>122</v>
      </c>
      <c r="K49" s="123">
        <v>128</v>
      </c>
      <c r="L49" s="123">
        <v>106</v>
      </c>
      <c r="M49" s="123">
        <v>-1</v>
      </c>
      <c r="N49" s="186">
        <v>694</v>
      </c>
    </row>
    <row r="50" spans="2:14" ht="24">
      <c r="B50" s="98"/>
      <c r="C50" s="99" t="s">
        <v>54</v>
      </c>
      <c r="D50" s="122" t="s">
        <v>129</v>
      </c>
      <c r="E50" s="291">
        <v>52</v>
      </c>
      <c r="F50" s="291">
        <v>20</v>
      </c>
      <c r="G50" s="291">
        <v>31</v>
      </c>
      <c r="H50" s="291">
        <v>5</v>
      </c>
      <c r="I50" s="291">
        <v>0</v>
      </c>
      <c r="J50" s="291">
        <v>0</v>
      </c>
      <c r="K50" s="291">
        <v>5</v>
      </c>
      <c r="L50" s="291">
        <v>0</v>
      </c>
      <c r="M50" s="291">
        <v>0</v>
      </c>
      <c r="N50" s="292">
        <v>61</v>
      </c>
    </row>
    <row r="51" spans="2:14">
      <c r="B51" s="98"/>
      <c r="C51" s="99" t="s">
        <v>55</v>
      </c>
      <c r="D51" s="122" t="s">
        <v>130</v>
      </c>
      <c r="E51" s="291">
        <v>0</v>
      </c>
      <c r="F51" s="291">
        <v>0</v>
      </c>
      <c r="G51" s="291">
        <v>-3</v>
      </c>
      <c r="H51" s="291">
        <v>0</v>
      </c>
      <c r="I51" s="291">
        <v>0</v>
      </c>
      <c r="J51" s="291">
        <v>-11</v>
      </c>
      <c r="K51" s="291">
        <v>-2</v>
      </c>
      <c r="L51" s="291">
        <v>-20</v>
      </c>
      <c r="M51" s="291">
        <v>0</v>
      </c>
      <c r="N51" s="292">
        <v>-36</v>
      </c>
    </row>
    <row r="52" spans="2:14" ht="24">
      <c r="B52" s="98"/>
      <c r="C52" s="99" t="s">
        <v>59</v>
      </c>
      <c r="D52" s="228" t="s">
        <v>139</v>
      </c>
      <c r="E52" s="291">
        <v>0</v>
      </c>
      <c r="F52" s="291">
        <v>0</v>
      </c>
      <c r="G52" s="291">
        <v>0</v>
      </c>
      <c r="H52" s="291">
        <v>0</v>
      </c>
      <c r="I52" s="291">
        <v>0</v>
      </c>
      <c r="J52" s="291">
        <v>0</v>
      </c>
      <c r="K52" s="291">
        <v>0</v>
      </c>
      <c r="L52" s="291">
        <v>-7</v>
      </c>
      <c r="M52" s="291">
        <v>1</v>
      </c>
      <c r="N52" s="292">
        <v>-6</v>
      </c>
    </row>
    <row r="53" spans="2:14" ht="24">
      <c r="B53" s="98"/>
      <c r="C53" s="229" t="s">
        <v>151</v>
      </c>
      <c r="D53" s="228" t="s">
        <v>132</v>
      </c>
      <c r="E53" s="291">
        <v>0</v>
      </c>
      <c r="F53" s="291">
        <v>-1</v>
      </c>
      <c r="G53" s="291">
        <v>-8</v>
      </c>
      <c r="H53" s="291">
        <v>-24</v>
      </c>
      <c r="I53" s="291">
        <v>0</v>
      </c>
      <c r="J53" s="291">
        <v>0</v>
      </c>
      <c r="K53" s="291">
        <v>0</v>
      </c>
      <c r="L53" s="291">
        <v>0</v>
      </c>
      <c r="M53" s="291">
        <v>0</v>
      </c>
      <c r="N53" s="292">
        <v>-33</v>
      </c>
    </row>
    <row r="54" spans="2:14" ht="12.75" thickBot="1">
      <c r="B54" s="610" t="s">
        <v>133</v>
      </c>
      <c r="C54" s="611"/>
      <c r="D54" s="203"/>
      <c r="E54" s="141">
        <v>755</v>
      </c>
      <c r="F54" s="141">
        <v>204</v>
      </c>
      <c r="G54" s="141">
        <v>74</v>
      </c>
      <c r="H54" s="141">
        <v>26</v>
      </c>
      <c r="I54" s="141">
        <v>55</v>
      </c>
      <c r="J54" s="141">
        <v>111</v>
      </c>
      <c r="K54" s="141">
        <v>131</v>
      </c>
      <c r="L54" s="141">
        <v>79</v>
      </c>
      <c r="M54" s="141">
        <v>0</v>
      </c>
      <c r="N54" s="192">
        <v>680</v>
      </c>
    </row>
    <row r="55" spans="2:14" ht="3.75" customHeight="1" thickTop="1" thickBot="1">
      <c r="B55" s="193"/>
      <c r="C55" s="194"/>
      <c r="D55" s="195"/>
      <c r="E55" s="194"/>
      <c r="F55" s="194"/>
      <c r="G55" s="194"/>
      <c r="H55" s="194"/>
      <c r="I55" s="194"/>
      <c r="J55" s="194"/>
      <c r="K55" s="194"/>
      <c r="L55" s="194"/>
      <c r="M55" s="194"/>
      <c r="N55" s="293"/>
    </row>
    <row r="56" spans="2:14" ht="12.75" thickBot="1">
      <c r="B56" s="196"/>
      <c r="C56" s="197"/>
      <c r="D56" s="198"/>
      <c r="E56" s="197"/>
      <c r="F56" s="197"/>
      <c r="G56" s="197"/>
      <c r="H56" s="197"/>
      <c r="I56" s="197"/>
      <c r="J56" s="197"/>
      <c r="K56" s="197"/>
      <c r="L56" s="197"/>
      <c r="M56" s="197"/>
      <c r="N56" s="197"/>
    </row>
    <row r="57" spans="2:14" ht="36">
      <c r="B57" s="180" t="s">
        <v>27</v>
      </c>
      <c r="C57" s="181"/>
      <c r="D57" s="290"/>
      <c r="E57" s="117" t="s">
        <v>140</v>
      </c>
      <c r="F57" s="117" t="s">
        <v>141</v>
      </c>
      <c r="G57" s="117" t="s">
        <v>142</v>
      </c>
      <c r="H57" s="118" t="s">
        <v>143</v>
      </c>
      <c r="I57" s="119"/>
      <c r="J57" s="120"/>
      <c r="K57" s="121"/>
      <c r="L57" s="196"/>
      <c r="M57" s="196"/>
      <c r="N57" s="196"/>
    </row>
    <row r="58" spans="2:14">
      <c r="B58" s="598" t="s">
        <v>127</v>
      </c>
      <c r="C58" s="599"/>
      <c r="D58" s="122"/>
      <c r="E58" s="294">
        <v>9</v>
      </c>
      <c r="F58" s="123">
        <v>15</v>
      </c>
      <c r="G58" s="124">
        <v>0.01</v>
      </c>
      <c r="H58" s="295">
        <v>0.01</v>
      </c>
      <c r="I58" s="126"/>
      <c r="J58" s="197"/>
      <c r="K58" s="197"/>
      <c r="L58" s="197"/>
      <c r="M58" s="197"/>
      <c r="N58" s="296"/>
    </row>
    <row r="59" spans="2:14" ht="24">
      <c r="B59" s="98"/>
      <c r="C59" s="99" t="s">
        <v>54</v>
      </c>
      <c r="D59" s="122" t="s">
        <v>129</v>
      </c>
      <c r="E59" s="297">
        <v>-9</v>
      </c>
      <c r="F59" s="298">
        <v>5</v>
      </c>
      <c r="G59" s="299">
        <v>4.101120951277934E-9</v>
      </c>
      <c r="H59" s="300">
        <v>4.0207775843999526E-3</v>
      </c>
      <c r="I59" s="126"/>
      <c r="J59" s="197"/>
      <c r="K59" s="197"/>
      <c r="L59" s="197"/>
      <c r="M59" s="197"/>
      <c r="N59" s="301"/>
    </row>
    <row r="60" spans="2:14">
      <c r="B60" s="98"/>
      <c r="C60" s="99" t="s">
        <v>55</v>
      </c>
      <c r="D60" s="122" t="s">
        <v>130</v>
      </c>
      <c r="E60" s="297">
        <v>36</v>
      </c>
      <c r="F60" s="298">
        <v>23</v>
      </c>
      <c r="G60" s="299">
        <v>1.777308556174418E-2</v>
      </c>
      <c r="H60" s="300">
        <v>1.742490038242241E-2</v>
      </c>
      <c r="I60" s="302"/>
      <c r="J60" s="197"/>
      <c r="K60" s="197"/>
      <c r="L60" s="197"/>
      <c r="M60" s="197"/>
      <c r="N60" s="301"/>
    </row>
    <row r="61" spans="2:14" ht="24">
      <c r="B61" s="98"/>
      <c r="C61" s="99" t="s">
        <v>59</v>
      </c>
      <c r="D61" s="228" t="s">
        <v>139</v>
      </c>
      <c r="E61" s="297">
        <v>6</v>
      </c>
      <c r="F61" s="298">
        <v>3</v>
      </c>
      <c r="G61" s="299">
        <v>2.7535986284327576E-3</v>
      </c>
      <c r="H61" s="300">
        <v>2.6996540148826638E-3</v>
      </c>
      <c r="I61" s="132"/>
      <c r="J61" s="197"/>
      <c r="K61" s="197"/>
      <c r="L61" s="197"/>
      <c r="M61" s="197"/>
      <c r="N61" s="301"/>
    </row>
    <row r="62" spans="2:14" ht="24">
      <c r="B62" s="98"/>
      <c r="C62" s="229" t="s">
        <v>151</v>
      </c>
      <c r="D62" s="228" t="s">
        <v>132</v>
      </c>
      <c r="E62" s="297">
        <v>33</v>
      </c>
      <c r="F62" s="298">
        <v>9</v>
      </c>
      <c r="G62" s="303">
        <v>6.9952491382924602E-3</v>
      </c>
      <c r="H62" s="304">
        <v>6.8582081013180227E-3</v>
      </c>
      <c r="I62" s="132"/>
      <c r="J62" s="197"/>
      <c r="K62" s="197"/>
      <c r="L62" s="197"/>
      <c r="M62" s="197"/>
      <c r="N62" s="301"/>
    </row>
    <row r="63" spans="2:14" ht="12.75" thickBot="1">
      <c r="B63" s="610" t="s">
        <v>133</v>
      </c>
      <c r="C63" s="611"/>
      <c r="D63" s="203"/>
      <c r="E63" s="141">
        <v>75</v>
      </c>
      <c r="F63" s="141">
        <v>55</v>
      </c>
      <c r="G63" s="305">
        <v>4.2947394542128155E-2</v>
      </c>
      <c r="H63" s="306">
        <v>4.2106029872042906E-2</v>
      </c>
      <c r="I63" s="307"/>
      <c r="J63" s="197"/>
      <c r="K63" s="197"/>
      <c r="L63" s="197"/>
      <c r="M63" s="197"/>
      <c r="N63" s="301"/>
    </row>
    <row r="64" spans="2:14" ht="3.75" customHeight="1" thickTop="1" thickBot="1">
      <c r="B64" s="308"/>
      <c r="C64" s="309"/>
      <c r="D64" s="309"/>
      <c r="E64" s="207"/>
      <c r="F64" s="207"/>
      <c r="G64" s="310"/>
      <c r="H64" s="311"/>
      <c r="I64" s="196"/>
      <c r="J64" s="197"/>
      <c r="K64" s="197"/>
      <c r="L64" s="197"/>
      <c r="M64" s="197"/>
    </row>
    <row r="65" spans="2:15">
      <c r="B65" s="196"/>
      <c r="C65" s="196"/>
      <c r="D65" s="312"/>
      <c r="E65" s="196"/>
      <c r="F65" s="196"/>
      <c r="G65" s="313"/>
      <c r="H65" s="313"/>
      <c r="I65" s="197"/>
      <c r="J65" s="197"/>
      <c r="K65" s="197"/>
    </row>
    <row r="66" spans="2:15" ht="12.75" thickBot="1">
      <c r="B66" s="196"/>
      <c r="C66" s="196"/>
      <c r="D66" s="312"/>
      <c r="E66" s="196"/>
      <c r="F66" s="196"/>
      <c r="G66" s="313"/>
      <c r="H66" s="197"/>
      <c r="I66" s="197"/>
      <c r="J66" s="197"/>
    </row>
    <row r="67" spans="2:15" ht="60.75" customHeight="1">
      <c r="B67" s="180" t="s">
        <v>26</v>
      </c>
      <c r="C67" s="181"/>
      <c r="D67" s="182"/>
      <c r="E67" s="91" t="s">
        <v>119</v>
      </c>
      <c r="F67" s="91" t="s">
        <v>120</v>
      </c>
      <c r="G67" s="91" t="s">
        <v>121</v>
      </c>
      <c r="H67" s="91" t="s">
        <v>122</v>
      </c>
      <c r="I67" s="91" t="s">
        <v>285</v>
      </c>
      <c r="J67" s="91" t="s">
        <v>123</v>
      </c>
      <c r="K67" s="91" t="s">
        <v>124</v>
      </c>
      <c r="L67" s="91" t="s">
        <v>125</v>
      </c>
      <c r="M67" s="91" t="s">
        <v>50</v>
      </c>
      <c r="N67" s="220" t="s">
        <v>148</v>
      </c>
      <c r="O67" s="92" t="s">
        <v>126</v>
      </c>
    </row>
    <row r="68" spans="2:15">
      <c r="B68" s="183" t="s">
        <v>127</v>
      </c>
      <c r="C68" s="184"/>
      <c r="D68" s="185"/>
      <c r="E68" s="123">
        <v>1557</v>
      </c>
      <c r="F68" s="123">
        <v>670</v>
      </c>
      <c r="G68" s="123">
        <v>136</v>
      </c>
      <c r="H68" s="123">
        <v>152</v>
      </c>
      <c r="I68" s="123">
        <v>54</v>
      </c>
      <c r="J68" s="123">
        <v>265</v>
      </c>
      <c r="K68" s="123">
        <v>215</v>
      </c>
      <c r="L68" s="123">
        <v>94</v>
      </c>
      <c r="M68" s="314">
        <v>-6</v>
      </c>
      <c r="N68" s="328">
        <v>409</v>
      </c>
      <c r="O68" s="186">
        <f t="shared" ref="O68:O73" si="0">SUM(F68:N68)</f>
        <v>1989</v>
      </c>
    </row>
    <row r="69" spans="2:15" ht="24">
      <c r="B69" s="98"/>
      <c r="C69" s="99" t="s">
        <v>54</v>
      </c>
      <c r="D69" s="122" t="s">
        <v>129</v>
      </c>
      <c r="E69" s="129">
        <v>938</v>
      </c>
      <c r="F69" s="129">
        <v>194</v>
      </c>
      <c r="G69" s="129">
        <v>16</v>
      </c>
      <c r="H69" s="129">
        <v>4</v>
      </c>
      <c r="I69" s="135">
        <v>0</v>
      </c>
      <c r="J69" s="135">
        <v>0</v>
      </c>
      <c r="K69" s="135">
        <v>0</v>
      </c>
      <c r="L69" s="135">
        <v>0</v>
      </c>
      <c r="M69" s="315">
        <v>0</v>
      </c>
      <c r="N69" s="160">
        <v>0</v>
      </c>
      <c r="O69" s="187">
        <f t="shared" si="0"/>
        <v>214</v>
      </c>
    </row>
    <row r="70" spans="2:15">
      <c r="B70" s="98"/>
      <c r="C70" s="99" t="s">
        <v>55</v>
      </c>
      <c r="D70" s="122" t="s">
        <v>130</v>
      </c>
      <c r="E70" s="135">
        <v>0</v>
      </c>
      <c r="F70" s="135">
        <v>0</v>
      </c>
      <c r="G70" s="129">
        <v>-16</v>
      </c>
      <c r="H70" s="135">
        <v>0</v>
      </c>
      <c r="I70" s="135">
        <v>0</v>
      </c>
      <c r="J70" s="129">
        <v>-12</v>
      </c>
      <c r="K70" s="129">
        <v>1</v>
      </c>
      <c r="L70" s="129">
        <v>-20</v>
      </c>
      <c r="M70" s="315">
        <v>0</v>
      </c>
      <c r="N70" s="160">
        <v>0</v>
      </c>
      <c r="O70" s="187">
        <f t="shared" si="0"/>
        <v>-47</v>
      </c>
    </row>
    <row r="71" spans="2:15" ht="24">
      <c r="B71" s="98"/>
      <c r="C71" s="99" t="s">
        <v>59</v>
      </c>
      <c r="D71" s="122" t="s">
        <v>139</v>
      </c>
      <c r="E71" s="135">
        <v>0</v>
      </c>
      <c r="F71" s="135">
        <v>0</v>
      </c>
      <c r="G71" s="135">
        <v>0</v>
      </c>
      <c r="H71" s="135">
        <v>0</v>
      </c>
      <c r="I71" s="135">
        <v>0</v>
      </c>
      <c r="J71" s="135">
        <v>0</v>
      </c>
      <c r="K71" s="135">
        <v>0</v>
      </c>
      <c r="L71" s="135">
        <v>0</v>
      </c>
      <c r="M71" s="316">
        <v>6</v>
      </c>
      <c r="N71" s="160">
        <v>0</v>
      </c>
      <c r="O71" s="187">
        <f t="shared" si="0"/>
        <v>6</v>
      </c>
    </row>
    <row r="72" spans="2:15" ht="24">
      <c r="B72" s="98"/>
      <c r="C72" s="99" t="s">
        <v>57</v>
      </c>
      <c r="D72" s="317" t="s">
        <v>132</v>
      </c>
      <c r="E72" s="135">
        <v>0</v>
      </c>
      <c r="F72" s="129">
        <v>-1</v>
      </c>
      <c r="G72" s="129">
        <v>-29</v>
      </c>
      <c r="H72" s="129">
        <v>-112</v>
      </c>
      <c r="I72" s="135">
        <v>0</v>
      </c>
      <c r="J72" s="135">
        <v>0</v>
      </c>
      <c r="K72" s="135">
        <v>0</v>
      </c>
      <c r="L72" s="135">
        <v>0</v>
      </c>
      <c r="M72" s="315">
        <v>0</v>
      </c>
      <c r="N72" s="160">
        <v>0</v>
      </c>
      <c r="O72" s="187">
        <f t="shared" si="0"/>
        <v>-142</v>
      </c>
    </row>
    <row r="73" spans="2:15">
      <c r="B73" s="98"/>
      <c r="C73" s="99" t="s">
        <v>58</v>
      </c>
      <c r="D73" s="122" t="s">
        <v>208</v>
      </c>
      <c r="E73" s="135">
        <v>0</v>
      </c>
      <c r="F73" s="135">
        <v>0</v>
      </c>
      <c r="G73" s="135">
        <v>0</v>
      </c>
      <c r="H73" s="135">
        <v>0</v>
      </c>
      <c r="I73" s="135">
        <v>0</v>
      </c>
      <c r="J73" s="135">
        <v>0</v>
      </c>
      <c r="K73" s="135">
        <v>0</v>
      </c>
      <c r="L73" s="135">
        <v>0</v>
      </c>
      <c r="M73" s="315">
        <v>0</v>
      </c>
      <c r="N73" s="329">
        <v>-409</v>
      </c>
      <c r="O73" s="187">
        <f t="shared" si="0"/>
        <v>-409</v>
      </c>
    </row>
    <row r="74" spans="2:15" ht="12.75" thickBot="1">
      <c r="B74" s="189" t="s">
        <v>133</v>
      </c>
      <c r="C74" s="190"/>
      <c r="D74" s="191"/>
      <c r="E74" s="141">
        <f t="shared" ref="E74:O74" si="1">SUM(E68:E73)</f>
        <v>2495</v>
      </c>
      <c r="F74" s="141">
        <f t="shared" si="1"/>
        <v>863</v>
      </c>
      <c r="G74" s="141">
        <f t="shared" si="1"/>
        <v>107</v>
      </c>
      <c r="H74" s="141">
        <f t="shared" si="1"/>
        <v>44</v>
      </c>
      <c r="I74" s="141">
        <f t="shared" si="1"/>
        <v>54</v>
      </c>
      <c r="J74" s="141">
        <f t="shared" si="1"/>
        <v>253</v>
      </c>
      <c r="K74" s="141">
        <f t="shared" si="1"/>
        <v>216</v>
      </c>
      <c r="L74" s="141">
        <f t="shared" si="1"/>
        <v>74</v>
      </c>
      <c r="M74" s="331">
        <f t="shared" si="1"/>
        <v>0</v>
      </c>
      <c r="N74" s="330">
        <f t="shared" si="1"/>
        <v>0</v>
      </c>
      <c r="O74" s="192">
        <f t="shared" si="1"/>
        <v>1611</v>
      </c>
    </row>
    <row r="75" spans="2:15" ht="3.75" customHeight="1" thickTop="1" thickBot="1">
      <c r="B75" s="193"/>
      <c r="C75" s="194"/>
      <c r="D75" s="195"/>
      <c r="E75" s="194"/>
      <c r="F75" s="111"/>
      <c r="G75" s="111"/>
      <c r="H75" s="111"/>
      <c r="I75" s="111"/>
      <c r="J75" s="111"/>
      <c r="K75" s="111"/>
      <c r="L75" s="111"/>
      <c r="M75" s="111"/>
      <c r="N75" s="111"/>
      <c r="O75" s="112"/>
    </row>
    <row r="76" spans="2:15" ht="12.75" thickBot="1">
      <c r="B76" s="196"/>
      <c r="C76" s="197"/>
      <c r="D76" s="198"/>
      <c r="E76" s="197"/>
      <c r="F76" s="197"/>
      <c r="G76" s="197"/>
      <c r="H76" s="197"/>
      <c r="I76" s="197"/>
      <c r="J76" s="197"/>
      <c r="K76" s="197"/>
      <c r="L76" s="197"/>
      <c r="M76" s="197"/>
      <c r="N76" s="197"/>
      <c r="O76" s="197"/>
    </row>
    <row r="77" spans="2:15" ht="48">
      <c r="B77" s="199" t="str">
        <f>B67</f>
        <v>Three Months Ended December 31, 2009</v>
      </c>
      <c r="C77" s="200"/>
      <c r="D77" s="116"/>
      <c r="E77" s="117" t="s">
        <v>134</v>
      </c>
      <c r="F77" s="117" t="s">
        <v>135</v>
      </c>
      <c r="G77" s="117" t="s">
        <v>136</v>
      </c>
      <c r="H77" s="118" t="s">
        <v>137</v>
      </c>
      <c r="I77" s="119"/>
      <c r="J77" s="120"/>
      <c r="K77" s="121"/>
      <c r="L77" s="196"/>
      <c r="N77" s="196"/>
      <c r="O77" s="196"/>
    </row>
    <row r="78" spans="2:15">
      <c r="B78" s="183" t="s">
        <v>127</v>
      </c>
      <c r="C78" s="184"/>
      <c r="D78" s="122"/>
      <c r="E78" s="123">
        <f t="shared" ref="E78:E83" si="2">E68-O68</f>
        <v>-432</v>
      </c>
      <c r="F78" s="123">
        <v>-286</v>
      </c>
      <c r="G78" s="124">
        <v>-0.23</v>
      </c>
      <c r="H78" s="125">
        <v>-0.23</v>
      </c>
      <c r="I78" s="126"/>
      <c r="J78" s="318"/>
      <c r="K78" s="121"/>
      <c r="L78" s="196"/>
      <c r="N78" s="196"/>
      <c r="O78" s="196"/>
    </row>
    <row r="79" spans="2:15" ht="24">
      <c r="B79" s="98"/>
      <c r="C79" s="99" t="s">
        <v>54</v>
      </c>
      <c r="D79" s="122" t="s">
        <v>129</v>
      </c>
      <c r="E79" s="128">
        <f t="shared" si="2"/>
        <v>724</v>
      </c>
      <c r="F79" s="129">
        <v>552</v>
      </c>
      <c r="G79" s="130">
        <v>0.43</v>
      </c>
      <c r="H79" s="131">
        <v>0.43</v>
      </c>
      <c r="I79" s="126"/>
      <c r="J79" s="126"/>
      <c r="K79" s="126"/>
      <c r="L79" s="126"/>
      <c r="N79" s="126"/>
      <c r="O79" s="133"/>
    </row>
    <row r="80" spans="2:15">
      <c r="B80" s="98"/>
      <c r="C80" s="99" t="s">
        <v>55</v>
      </c>
      <c r="D80" s="122" t="s">
        <v>130</v>
      </c>
      <c r="E80" s="128">
        <f t="shared" si="2"/>
        <v>47</v>
      </c>
      <c r="F80" s="129">
        <v>29</v>
      </c>
      <c r="G80" s="130">
        <v>0.02</v>
      </c>
      <c r="H80" s="131">
        <v>0.02</v>
      </c>
      <c r="I80" s="132"/>
      <c r="J80" s="132"/>
      <c r="K80" s="133"/>
      <c r="L80" s="133"/>
      <c r="N80" s="133"/>
      <c r="O80" s="133"/>
    </row>
    <row r="81" spans="2:15" ht="24">
      <c r="B81" s="98"/>
      <c r="C81" s="99" t="s">
        <v>59</v>
      </c>
      <c r="D81" s="122" t="s">
        <v>139</v>
      </c>
      <c r="E81" s="128">
        <f t="shared" si="2"/>
        <v>-6</v>
      </c>
      <c r="F81" s="129">
        <v>-4</v>
      </c>
      <c r="G81" s="135">
        <v>0</v>
      </c>
      <c r="H81" s="136">
        <v>0</v>
      </c>
      <c r="I81" s="137"/>
      <c r="J81" s="137"/>
      <c r="K81" s="138"/>
      <c r="L81" s="133"/>
      <c r="N81" s="133"/>
      <c r="O81" s="133"/>
    </row>
    <row r="82" spans="2:15" ht="24">
      <c r="B82" s="98"/>
      <c r="C82" s="99" t="s">
        <v>57</v>
      </c>
      <c r="D82" s="317" t="s">
        <v>132</v>
      </c>
      <c r="E82" s="128">
        <f t="shared" si="2"/>
        <v>142</v>
      </c>
      <c r="F82" s="129">
        <v>92</v>
      </c>
      <c r="G82" s="130">
        <v>7.0000000000000007E-2</v>
      </c>
      <c r="H82" s="131">
        <v>7.0000000000000007E-2</v>
      </c>
      <c r="I82" s="137"/>
      <c r="J82" s="137"/>
      <c r="K82" s="138"/>
      <c r="L82" s="133"/>
      <c r="N82" s="133"/>
      <c r="O82" s="133"/>
    </row>
    <row r="83" spans="2:15">
      <c r="B83" s="98"/>
      <c r="C83" s="99" t="s">
        <v>58</v>
      </c>
      <c r="D83" s="122" t="s">
        <v>208</v>
      </c>
      <c r="E83" s="128">
        <f t="shared" si="2"/>
        <v>409</v>
      </c>
      <c r="F83" s="129">
        <v>249</v>
      </c>
      <c r="G83" s="139">
        <v>0.19</v>
      </c>
      <c r="H83" s="202">
        <v>0.19</v>
      </c>
      <c r="I83" s="137"/>
      <c r="J83" s="137"/>
      <c r="K83" s="138"/>
      <c r="L83" s="133"/>
      <c r="N83" s="133"/>
      <c r="O83" s="133"/>
    </row>
    <row r="84" spans="2:15" ht="12.75" thickBot="1">
      <c r="B84" s="189" t="s">
        <v>133</v>
      </c>
      <c r="C84" s="190"/>
      <c r="D84" s="203"/>
      <c r="E84" s="141">
        <f>SUM(E78:E83)</f>
        <v>884</v>
      </c>
      <c r="F84" s="141">
        <f>SUM(F78:F83)</f>
        <v>632</v>
      </c>
      <c r="G84" s="142">
        <v>0.5</v>
      </c>
      <c r="H84" s="143">
        <v>0.49</v>
      </c>
      <c r="I84" s="144"/>
      <c r="J84" s="197"/>
      <c r="K84" s="197"/>
      <c r="L84" s="197"/>
      <c r="N84" s="197"/>
      <c r="O84" s="197"/>
    </row>
    <row r="85" spans="2:15" ht="3.75" customHeight="1" thickTop="1" thickBot="1">
      <c r="B85" s="319"/>
      <c r="C85" s="205"/>
      <c r="D85" s="206"/>
      <c r="E85" s="207"/>
      <c r="F85" s="207"/>
      <c r="G85" s="207"/>
      <c r="H85" s="208"/>
      <c r="I85" s="196"/>
      <c r="J85" s="197"/>
      <c r="K85" s="197"/>
      <c r="L85" s="197"/>
      <c r="M85" s="197"/>
      <c r="N85" s="197"/>
      <c r="O85" s="197"/>
    </row>
    <row r="86" spans="2:15">
      <c r="B86" s="196"/>
      <c r="C86" s="196"/>
      <c r="D86" s="312"/>
      <c r="E86" s="196"/>
      <c r="F86" s="313"/>
      <c r="G86" s="197"/>
      <c r="H86" s="197"/>
      <c r="I86" s="197"/>
    </row>
    <row r="87" spans="2:15">
      <c r="B87" s="196"/>
      <c r="C87" s="196"/>
      <c r="D87" s="312"/>
      <c r="E87" s="196"/>
      <c r="F87" s="196"/>
      <c r="G87" s="313"/>
      <c r="H87" s="197"/>
      <c r="I87" s="197"/>
      <c r="J87" s="197"/>
      <c r="K87" s="197"/>
    </row>
    <row r="88" spans="2:15">
      <c r="C88" s="320" t="s">
        <v>144</v>
      </c>
      <c r="N88" s="240"/>
    </row>
    <row r="89" spans="2:15">
      <c r="C89" s="604" t="s">
        <v>152</v>
      </c>
      <c r="D89" s="612"/>
      <c r="E89" s="612"/>
      <c r="F89" s="612"/>
      <c r="G89" s="612"/>
      <c r="H89" s="612"/>
      <c r="I89" s="612"/>
      <c r="J89" s="612"/>
      <c r="K89" s="612"/>
      <c r="L89" s="612"/>
      <c r="M89" s="612"/>
      <c r="N89" s="240"/>
    </row>
    <row r="90" spans="2:15">
      <c r="C90" s="320" t="s">
        <v>153</v>
      </c>
      <c r="N90" s="321"/>
    </row>
    <row r="91" spans="2:15" ht="24.75" customHeight="1">
      <c r="C91" s="609" t="s">
        <v>154</v>
      </c>
      <c r="D91" s="609"/>
      <c r="E91" s="609"/>
      <c r="F91" s="609"/>
      <c r="G91" s="609"/>
      <c r="H91" s="609"/>
      <c r="I91" s="609"/>
      <c r="J91" s="609"/>
      <c r="K91" s="609"/>
      <c r="L91" s="609"/>
      <c r="M91" s="609"/>
      <c r="N91" s="609"/>
      <c r="O91" s="609"/>
    </row>
    <row r="92" spans="2:15">
      <c r="C92" s="320" t="s">
        <v>155</v>
      </c>
      <c r="D92" s="322"/>
      <c r="E92" s="322"/>
      <c r="F92" s="322"/>
      <c r="G92" s="322"/>
      <c r="H92" s="322"/>
      <c r="I92" s="322"/>
      <c r="J92" s="322"/>
      <c r="K92" s="322"/>
      <c r="L92" s="322"/>
      <c r="M92" s="322"/>
      <c r="N92" s="321"/>
    </row>
    <row r="93" spans="2:15">
      <c r="C93" s="320" t="s">
        <v>209</v>
      </c>
      <c r="D93" s="322"/>
      <c r="E93" s="322"/>
      <c r="F93" s="322"/>
      <c r="G93" s="322"/>
      <c r="H93" s="322"/>
      <c r="I93" s="322"/>
      <c r="J93" s="322"/>
      <c r="K93" s="322"/>
      <c r="L93" s="322"/>
      <c r="M93" s="322"/>
      <c r="N93" s="321"/>
    </row>
    <row r="94" spans="2:15">
      <c r="C94" s="320"/>
      <c r="D94" s="322"/>
      <c r="E94" s="322"/>
      <c r="F94" s="322"/>
      <c r="G94" s="322"/>
      <c r="H94" s="322"/>
      <c r="I94" s="322"/>
      <c r="J94" s="322"/>
      <c r="K94" s="322"/>
      <c r="L94" s="322"/>
      <c r="M94" s="322"/>
      <c r="N94" s="321"/>
    </row>
    <row r="95" spans="2:15">
      <c r="C95" s="609" t="s">
        <v>147</v>
      </c>
      <c r="D95" s="609"/>
      <c r="E95" s="609"/>
      <c r="F95" s="609"/>
      <c r="G95" s="609"/>
      <c r="H95" s="609"/>
      <c r="I95" s="609"/>
      <c r="J95" s="609"/>
      <c r="K95" s="609"/>
      <c r="L95" s="609"/>
      <c r="M95" s="322"/>
      <c r="N95" s="321"/>
    </row>
  </sheetData>
  <mergeCells count="10">
    <mergeCell ref="C95:L95"/>
    <mergeCell ref="B1:N1"/>
    <mergeCell ref="B2:N2"/>
    <mergeCell ref="B3:N3"/>
    <mergeCell ref="B49:C49"/>
    <mergeCell ref="C91:O91"/>
    <mergeCell ref="B58:C58"/>
    <mergeCell ref="B63:C63"/>
    <mergeCell ref="B54:C54"/>
    <mergeCell ref="C89:M89"/>
  </mergeCells>
  <pageMargins left="0.7" right="0.7" top="0.25" bottom="0.44" header="0.3" footer="0.3"/>
  <pageSetup scale="44" orientation="portrait" r:id="rId1"/>
  <headerFooter>
    <oddFooter>&amp;LActivision Blizzard, Inc.&amp;R&amp;P of &amp; 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view="pageBreakPreview" zoomScale="60" zoomScaleNormal="100" workbookViewId="0">
      <selection activeCell="J17" sqref="J17"/>
    </sheetView>
  </sheetViews>
  <sheetFormatPr defaultRowHeight="12"/>
  <cols>
    <col min="1" max="1" width="2" style="217" customWidth="1"/>
    <col min="2" max="2" width="1.42578125" style="217" customWidth="1"/>
    <col min="3" max="3" width="57.140625" style="217" customWidth="1"/>
    <col min="4" max="4" width="5.28515625" style="268" bestFit="1" customWidth="1"/>
    <col min="5" max="5" width="9.5703125" style="217" customWidth="1"/>
    <col min="6" max="6" width="9.7109375" style="217" customWidth="1"/>
    <col min="7" max="7" width="12.7109375" style="217" customWidth="1"/>
    <col min="8" max="8" width="9.85546875" style="217" customWidth="1"/>
    <col min="9" max="9" width="8.85546875" style="217" customWidth="1"/>
    <col min="10" max="10" width="11.5703125" style="217" bestFit="1" customWidth="1"/>
    <col min="11" max="11" width="10.85546875" style="217" bestFit="1" customWidth="1"/>
    <col min="12" max="12" width="12.7109375" style="217" bestFit="1" customWidth="1"/>
    <col min="13" max="13" width="12.140625" style="217" bestFit="1" customWidth="1"/>
    <col min="14" max="14" width="13" style="217" customWidth="1"/>
    <col min="15" max="15" width="12.28515625" style="217" bestFit="1" customWidth="1"/>
    <col min="16" max="16" width="3.28515625" style="217" customWidth="1"/>
    <col min="17" max="257" width="9.140625" style="217"/>
    <col min="258" max="258" width="9.85546875" style="217" bestFit="1" customWidth="1"/>
    <col min="259" max="259" width="80.7109375" style="217" customWidth="1"/>
    <col min="260" max="260" width="6.28515625" style="217" bestFit="1" customWidth="1"/>
    <col min="261" max="261" width="13.7109375" style="217" customWidth="1"/>
    <col min="262" max="262" width="16.7109375" style="217" customWidth="1"/>
    <col min="263" max="263" width="19.42578125" style="217" customWidth="1"/>
    <col min="264" max="264" width="17" style="217" customWidth="1"/>
    <col min="265" max="265" width="13.7109375" style="217" customWidth="1"/>
    <col min="266" max="266" width="15.7109375" style="217" bestFit="1" customWidth="1"/>
    <col min="267" max="267" width="12.140625" style="217" bestFit="1" customWidth="1"/>
    <col min="268" max="268" width="17.140625" style="217" customWidth="1"/>
    <col min="269" max="269" width="16" style="217" bestFit="1" customWidth="1"/>
    <col min="270" max="270" width="13.7109375" style="217" customWidth="1"/>
    <col min="271" max="271" width="12.28515625" style="217" bestFit="1" customWidth="1"/>
    <col min="272" max="272" width="3.28515625" style="217" customWidth="1"/>
    <col min="273" max="513" width="9.140625" style="217"/>
    <col min="514" max="514" width="9.85546875" style="217" bestFit="1" customWidth="1"/>
    <col min="515" max="515" width="80.7109375" style="217" customWidth="1"/>
    <col min="516" max="516" width="6.28515625" style="217" bestFit="1" customWidth="1"/>
    <col min="517" max="517" width="13.7109375" style="217" customWidth="1"/>
    <col min="518" max="518" width="16.7109375" style="217" customWidth="1"/>
    <col min="519" max="519" width="19.42578125" style="217" customWidth="1"/>
    <col min="520" max="520" width="17" style="217" customWidth="1"/>
    <col min="521" max="521" width="13.7109375" style="217" customWidth="1"/>
    <col min="522" max="522" width="15.7109375" style="217" bestFit="1" customWidth="1"/>
    <col min="523" max="523" width="12.140625" style="217" bestFit="1" customWidth="1"/>
    <col min="524" max="524" width="17.140625" style="217" customWidth="1"/>
    <col min="525" max="525" width="16" style="217" bestFit="1" customWidth="1"/>
    <col min="526" max="526" width="13.7109375" style="217" customWidth="1"/>
    <col min="527" max="527" width="12.28515625" style="217" bestFit="1" customWidth="1"/>
    <col min="528" max="528" width="3.28515625" style="217" customWidth="1"/>
    <col min="529" max="769" width="9.140625" style="217"/>
    <col min="770" max="770" width="9.85546875" style="217" bestFit="1" customWidth="1"/>
    <col min="771" max="771" width="80.7109375" style="217" customWidth="1"/>
    <col min="772" max="772" width="6.28515625" style="217" bestFit="1" customWidth="1"/>
    <col min="773" max="773" width="13.7109375" style="217" customWidth="1"/>
    <col min="774" max="774" width="16.7109375" style="217" customWidth="1"/>
    <col min="775" max="775" width="19.42578125" style="217" customWidth="1"/>
    <col min="776" max="776" width="17" style="217" customWidth="1"/>
    <col min="777" max="777" width="13.7109375" style="217" customWidth="1"/>
    <col min="778" max="778" width="15.7109375" style="217" bestFit="1" customWidth="1"/>
    <col min="779" max="779" width="12.140625" style="217" bestFit="1" customWidth="1"/>
    <col min="780" max="780" width="17.140625" style="217" customWidth="1"/>
    <col min="781" max="781" width="16" style="217" bestFit="1" customWidth="1"/>
    <col min="782" max="782" width="13.7109375" style="217" customWidth="1"/>
    <col min="783" max="783" width="12.28515625" style="217" bestFit="1" customWidth="1"/>
    <col min="784" max="784" width="3.28515625" style="217" customWidth="1"/>
    <col min="785" max="1025" width="9.140625" style="217"/>
    <col min="1026" max="1026" width="9.85546875" style="217" bestFit="1" customWidth="1"/>
    <col min="1027" max="1027" width="80.7109375" style="217" customWidth="1"/>
    <col min="1028" max="1028" width="6.28515625" style="217" bestFit="1" customWidth="1"/>
    <col min="1029" max="1029" width="13.7109375" style="217" customWidth="1"/>
    <col min="1030" max="1030" width="16.7109375" style="217" customWidth="1"/>
    <col min="1031" max="1031" width="19.42578125" style="217" customWidth="1"/>
    <col min="1032" max="1032" width="17" style="217" customWidth="1"/>
    <col min="1033" max="1033" width="13.7109375" style="217" customWidth="1"/>
    <col min="1034" max="1034" width="15.7109375" style="217" bestFit="1" customWidth="1"/>
    <col min="1035" max="1035" width="12.140625" style="217" bestFit="1" customWidth="1"/>
    <col min="1036" max="1036" width="17.140625" style="217" customWidth="1"/>
    <col min="1037" max="1037" width="16" style="217" bestFit="1" customWidth="1"/>
    <col min="1038" max="1038" width="13.7109375" style="217" customWidth="1"/>
    <col min="1039" max="1039" width="12.28515625" style="217" bestFit="1" customWidth="1"/>
    <col min="1040" max="1040" width="3.28515625" style="217" customWidth="1"/>
    <col min="1041" max="1281" width="9.140625" style="217"/>
    <col min="1282" max="1282" width="9.85546875" style="217" bestFit="1" customWidth="1"/>
    <col min="1283" max="1283" width="80.7109375" style="217" customWidth="1"/>
    <col min="1284" max="1284" width="6.28515625" style="217" bestFit="1" customWidth="1"/>
    <col min="1285" max="1285" width="13.7109375" style="217" customWidth="1"/>
    <col min="1286" max="1286" width="16.7109375" style="217" customWidth="1"/>
    <col min="1287" max="1287" width="19.42578125" style="217" customWidth="1"/>
    <col min="1288" max="1288" width="17" style="217" customWidth="1"/>
    <col min="1289" max="1289" width="13.7109375" style="217" customWidth="1"/>
    <col min="1290" max="1290" width="15.7109375" style="217" bestFit="1" customWidth="1"/>
    <col min="1291" max="1291" width="12.140625" style="217" bestFit="1" customWidth="1"/>
    <col min="1292" max="1292" width="17.140625" style="217" customWidth="1"/>
    <col min="1293" max="1293" width="16" style="217" bestFit="1" customWidth="1"/>
    <col min="1294" max="1294" width="13.7109375" style="217" customWidth="1"/>
    <col min="1295" max="1295" width="12.28515625" style="217" bestFit="1" customWidth="1"/>
    <col min="1296" max="1296" width="3.28515625" style="217" customWidth="1"/>
    <col min="1297" max="1537" width="9.140625" style="217"/>
    <col min="1538" max="1538" width="9.85546875" style="217" bestFit="1" customWidth="1"/>
    <col min="1539" max="1539" width="80.7109375" style="217" customWidth="1"/>
    <col min="1540" max="1540" width="6.28515625" style="217" bestFit="1" customWidth="1"/>
    <col min="1541" max="1541" width="13.7109375" style="217" customWidth="1"/>
    <col min="1542" max="1542" width="16.7109375" style="217" customWidth="1"/>
    <col min="1543" max="1543" width="19.42578125" style="217" customWidth="1"/>
    <col min="1544" max="1544" width="17" style="217" customWidth="1"/>
    <col min="1545" max="1545" width="13.7109375" style="217" customWidth="1"/>
    <col min="1546" max="1546" width="15.7109375" style="217" bestFit="1" customWidth="1"/>
    <col min="1547" max="1547" width="12.140625" style="217" bestFit="1" customWidth="1"/>
    <col min="1548" max="1548" width="17.140625" style="217" customWidth="1"/>
    <col min="1549" max="1549" width="16" style="217" bestFit="1" customWidth="1"/>
    <col min="1550" max="1550" width="13.7109375" style="217" customWidth="1"/>
    <col min="1551" max="1551" width="12.28515625" style="217" bestFit="1" customWidth="1"/>
    <col min="1552" max="1552" width="3.28515625" style="217" customWidth="1"/>
    <col min="1553" max="1793" width="9.140625" style="217"/>
    <col min="1794" max="1794" width="9.85546875" style="217" bestFit="1" customWidth="1"/>
    <col min="1795" max="1795" width="80.7109375" style="217" customWidth="1"/>
    <col min="1796" max="1796" width="6.28515625" style="217" bestFit="1" customWidth="1"/>
    <col min="1797" max="1797" width="13.7109375" style="217" customWidth="1"/>
    <col min="1798" max="1798" width="16.7109375" style="217" customWidth="1"/>
    <col min="1799" max="1799" width="19.42578125" style="217" customWidth="1"/>
    <col min="1800" max="1800" width="17" style="217" customWidth="1"/>
    <col min="1801" max="1801" width="13.7109375" style="217" customWidth="1"/>
    <col min="1802" max="1802" width="15.7109375" style="217" bestFit="1" customWidth="1"/>
    <col min="1803" max="1803" width="12.140625" style="217" bestFit="1" customWidth="1"/>
    <col min="1804" max="1804" width="17.140625" style="217" customWidth="1"/>
    <col min="1805" max="1805" width="16" style="217" bestFit="1" customWidth="1"/>
    <col min="1806" max="1806" width="13.7109375" style="217" customWidth="1"/>
    <col min="1807" max="1807" width="12.28515625" style="217" bestFit="1" customWidth="1"/>
    <col min="1808" max="1808" width="3.28515625" style="217" customWidth="1"/>
    <col min="1809" max="2049" width="9.140625" style="217"/>
    <col min="2050" max="2050" width="9.85546875" style="217" bestFit="1" customWidth="1"/>
    <col min="2051" max="2051" width="80.7109375" style="217" customWidth="1"/>
    <col min="2052" max="2052" width="6.28515625" style="217" bestFit="1" customWidth="1"/>
    <col min="2053" max="2053" width="13.7109375" style="217" customWidth="1"/>
    <col min="2054" max="2054" width="16.7109375" style="217" customWidth="1"/>
    <col min="2055" max="2055" width="19.42578125" style="217" customWidth="1"/>
    <col min="2056" max="2056" width="17" style="217" customWidth="1"/>
    <col min="2057" max="2057" width="13.7109375" style="217" customWidth="1"/>
    <col min="2058" max="2058" width="15.7109375" style="217" bestFit="1" customWidth="1"/>
    <col min="2059" max="2059" width="12.140625" style="217" bestFit="1" customWidth="1"/>
    <col min="2060" max="2060" width="17.140625" style="217" customWidth="1"/>
    <col min="2061" max="2061" width="16" style="217" bestFit="1" customWidth="1"/>
    <col min="2062" max="2062" width="13.7109375" style="217" customWidth="1"/>
    <col min="2063" max="2063" width="12.28515625" style="217" bestFit="1" customWidth="1"/>
    <col min="2064" max="2064" width="3.28515625" style="217" customWidth="1"/>
    <col min="2065" max="2305" width="9.140625" style="217"/>
    <col min="2306" max="2306" width="9.85546875" style="217" bestFit="1" customWidth="1"/>
    <col min="2307" max="2307" width="80.7109375" style="217" customWidth="1"/>
    <col min="2308" max="2308" width="6.28515625" style="217" bestFit="1" customWidth="1"/>
    <col min="2309" max="2309" width="13.7109375" style="217" customWidth="1"/>
    <col min="2310" max="2310" width="16.7109375" style="217" customWidth="1"/>
    <col min="2311" max="2311" width="19.42578125" style="217" customWidth="1"/>
    <col min="2312" max="2312" width="17" style="217" customWidth="1"/>
    <col min="2313" max="2313" width="13.7109375" style="217" customWidth="1"/>
    <col min="2314" max="2314" width="15.7109375" style="217" bestFit="1" customWidth="1"/>
    <col min="2315" max="2315" width="12.140625" style="217" bestFit="1" customWidth="1"/>
    <col min="2316" max="2316" width="17.140625" style="217" customWidth="1"/>
    <col min="2317" max="2317" width="16" style="217" bestFit="1" customWidth="1"/>
    <col min="2318" max="2318" width="13.7109375" style="217" customWidth="1"/>
    <col min="2319" max="2319" width="12.28515625" style="217" bestFit="1" customWidth="1"/>
    <col min="2320" max="2320" width="3.28515625" style="217" customWidth="1"/>
    <col min="2321" max="2561" width="9.140625" style="217"/>
    <col min="2562" max="2562" width="9.85546875" style="217" bestFit="1" customWidth="1"/>
    <col min="2563" max="2563" width="80.7109375" style="217" customWidth="1"/>
    <col min="2564" max="2564" width="6.28515625" style="217" bestFit="1" customWidth="1"/>
    <col min="2565" max="2565" width="13.7109375" style="217" customWidth="1"/>
    <col min="2566" max="2566" width="16.7109375" style="217" customWidth="1"/>
    <col min="2567" max="2567" width="19.42578125" style="217" customWidth="1"/>
    <col min="2568" max="2568" width="17" style="217" customWidth="1"/>
    <col min="2569" max="2569" width="13.7109375" style="217" customWidth="1"/>
    <col min="2570" max="2570" width="15.7109375" style="217" bestFit="1" customWidth="1"/>
    <col min="2571" max="2571" width="12.140625" style="217" bestFit="1" customWidth="1"/>
    <col min="2572" max="2572" width="17.140625" style="217" customWidth="1"/>
    <col min="2573" max="2573" width="16" style="217" bestFit="1" customWidth="1"/>
    <col min="2574" max="2574" width="13.7109375" style="217" customWidth="1"/>
    <col min="2575" max="2575" width="12.28515625" style="217" bestFit="1" customWidth="1"/>
    <col min="2576" max="2576" width="3.28515625" style="217" customWidth="1"/>
    <col min="2577" max="2817" width="9.140625" style="217"/>
    <col min="2818" max="2818" width="9.85546875" style="217" bestFit="1" customWidth="1"/>
    <col min="2819" max="2819" width="80.7109375" style="217" customWidth="1"/>
    <col min="2820" max="2820" width="6.28515625" style="217" bestFit="1" customWidth="1"/>
    <col min="2821" max="2821" width="13.7109375" style="217" customWidth="1"/>
    <col min="2822" max="2822" width="16.7109375" style="217" customWidth="1"/>
    <col min="2823" max="2823" width="19.42578125" style="217" customWidth="1"/>
    <col min="2824" max="2824" width="17" style="217" customWidth="1"/>
    <col min="2825" max="2825" width="13.7109375" style="217" customWidth="1"/>
    <col min="2826" max="2826" width="15.7109375" style="217" bestFit="1" customWidth="1"/>
    <col min="2827" max="2827" width="12.140625" style="217" bestFit="1" customWidth="1"/>
    <col min="2828" max="2828" width="17.140625" style="217" customWidth="1"/>
    <col min="2829" max="2829" width="16" style="217" bestFit="1" customWidth="1"/>
    <col min="2830" max="2830" width="13.7109375" style="217" customWidth="1"/>
    <col min="2831" max="2831" width="12.28515625" style="217" bestFit="1" customWidth="1"/>
    <col min="2832" max="2832" width="3.28515625" style="217" customWidth="1"/>
    <col min="2833" max="3073" width="9.140625" style="217"/>
    <col min="3074" max="3074" width="9.85546875" style="217" bestFit="1" customWidth="1"/>
    <col min="3075" max="3075" width="80.7109375" style="217" customWidth="1"/>
    <col min="3076" max="3076" width="6.28515625" style="217" bestFit="1" customWidth="1"/>
    <col min="3077" max="3077" width="13.7109375" style="217" customWidth="1"/>
    <col min="3078" max="3078" width="16.7109375" style="217" customWidth="1"/>
    <col min="3079" max="3079" width="19.42578125" style="217" customWidth="1"/>
    <col min="3080" max="3080" width="17" style="217" customWidth="1"/>
    <col min="3081" max="3081" width="13.7109375" style="217" customWidth="1"/>
    <col min="3082" max="3082" width="15.7109375" style="217" bestFit="1" customWidth="1"/>
    <col min="3083" max="3083" width="12.140625" style="217" bestFit="1" customWidth="1"/>
    <col min="3084" max="3084" width="17.140625" style="217" customWidth="1"/>
    <col min="3085" max="3085" width="16" style="217" bestFit="1" customWidth="1"/>
    <col min="3086" max="3086" width="13.7109375" style="217" customWidth="1"/>
    <col min="3087" max="3087" width="12.28515625" style="217" bestFit="1" customWidth="1"/>
    <col min="3088" max="3088" width="3.28515625" style="217" customWidth="1"/>
    <col min="3089" max="3329" width="9.140625" style="217"/>
    <col min="3330" max="3330" width="9.85546875" style="217" bestFit="1" customWidth="1"/>
    <col min="3331" max="3331" width="80.7109375" style="217" customWidth="1"/>
    <col min="3332" max="3332" width="6.28515625" style="217" bestFit="1" customWidth="1"/>
    <col min="3333" max="3333" width="13.7109375" style="217" customWidth="1"/>
    <col min="3334" max="3334" width="16.7109375" style="217" customWidth="1"/>
    <col min="3335" max="3335" width="19.42578125" style="217" customWidth="1"/>
    <col min="3336" max="3336" width="17" style="217" customWidth="1"/>
    <col min="3337" max="3337" width="13.7109375" style="217" customWidth="1"/>
    <col min="3338" max="3338" width="15.7109375" style="217" bestFit="1" customWidth="1"/>
    <col min="3339" max="3339" width="12.140625" style="217" bestFit="1" customWidth="1"/>
    <col min="3340" max="3340" width="17.140625" style="217" customWidth="1"/>
    <col min="3341" max="3341" width="16" style="217" bestFit="1" customWidth="1"/>
    <col min="3342" max="3342" width="13.7109375" style="217" customWidth="1"/>
    <col min="3343" max="3343" width="12.28515625" style="217" bestFit="1" customWidth="1"/>
    <col min="3344" max="3344" width="3.28515625" style="217" customWidth="1"/>
    <col min="3345" max="3585" width="9.140625" style="217"/>
    <col min="3586" max="3586" width="9.85546875" style="217" bestFit="1" customWidth="1"/>
    <col min="3587" max="3587" width="80.7109375" style="217" customWidth="1"/>
    <col min="3588" max="3588" width="6.28515625" style="217" bestFit="1" customWidth="1"/>
    <col min="3589" max="3589" width="13.7109375" style="217" customWidth="1"/>
    <col min="3590" max="3590" width="16.7109375" style="217" customWidth="1"/>
    <col min="3591" max="3591" width="19.42578125" style="217" customWidth="1"/>
    <col min="3592" max="3592" width="17" style="217" customWidth="1"/>
    <col min="3593" max="3593" width="13.7109375" style="217" customWidth="1"/>
    <col min="3594" max="3594" width="15.7109375" style="217" bestFit="1" customWidth="1"/>
    <col min="3595" max="3595" width="12.140625" style="217" bestFit="1" customWidth="1"/>
    <col min="3596" max="3596" width="17.140625" style="217" customWidth="1"/>
    <col min="3597" max="3597" width="16" style="217" bestFit="1" customWidth="1"/>
    <col min="3598" max="3598" width="13.7109375" style="217" customWidth="1"/>
    <col min="3599" max="3599" width="12.28515625" style="217" bestFit="1" customWidth="1"/>
    <col min="3600" max="3600" width="3.28515625" style="217" customWidth="1"/>
    <col min="3601" max="3841" width="9.140625" style="217"/>
    <col min="3842" max="3842" width="9.85546875" style="217" bestFit="1" customWidth="1"/>
    <col min="3843" max="3843" width="80.7109375" style="217" customWidth="1"/>
    <col min="3844" max="3844" width="6.28515625" style="217" bestFit="1" customWidth="1"/>
    <col min="3845" max="3845" width="13.7109375" style="217" customWidth="1"/>
    <col min="3846" max="3846" width="16.7109375" style="217" customWidth="1"/>
    <col min="3847" max="3847" width="19.42578125" style="217" customWidth="1"/>
    <col min="3848" max="3848" width="17" style="217" customWidth="1"/>
    <col min="3849" max="3849" width="13.7109375" style="217" customWidth="1"/>
    <col min="3850" max="3850" width="15.7109375" style="217" bestFit="1" customWidth="1"/>
    <col min="3851" max="3851" width="12.140625" style="217" bestFit="1" customWidth="1"/>
    <col min="3852" max="3852" width="17.140625" style="217" customWidth="1"/>
    <col min="3853" max="3853" width="16" style="217" bestFit="1" customWidth="1"/>
    <col min="3854" max="3854" width="13.7109375" style="217" customWidth="1"/>
    <col min="3855" max="3855" width="12.28515625" style="217" bestFit="1" customWidth="1"/>
    <col min="3856" max="3856" width="3.28515625" style="217" customWidth="1"/>
    <col min="3857" max="4097" width="9.140625" style="217"/>
    <col min="4098" max="4098" width="9.85546875" style="217" bestFit="1" customWidth="1"/>
    <col min="4099" max="4099" width="80.7109375" style="217" customWidth="1"/>
    <col min="4100" max="4100" width="6.28515625" style="217" bestFit="1" customWidth="1"/>
    <col min="4101" max="4101" width="13.7109375" style="217" customWidth="1"/>
    <col min="4102" max="4102" width="16.7109375" style="217" customWidth="1"/>
    <col min="4103" max="4103" width="19.42578125" style="217" customWidth="1"/>
    <col min="4104" max="4104" width="17" style="217" customWidth="1"/>
    <col min="4105" max="4105" width="13.7109375" style="217" customWidth="1"/>
    <col min="4106" max="4106" width="15.7109375" style="217" bestFit="1" customWidth="1"/>
    <col min="4107" max="4107" width="12.140625" style="217" bestFit="1" customWidth="1"/>
    <col min="4108" max="4108" width="17.140625" style="217" customWidth="1"/>
    <col min="4109" max="4109" width="16" style="217" bestFit="1" customWidth="1"/>
    <col min="4110" max="4110" width="13.7109375" style="217" customWidth="1"/>
    <col min="4111" max="4111" width="12.28515625" style="217" bestFit="1" customWidth="1"/>
    <col min="4112" max="4112" width="3.28515625" style="217" customWidth="1"/>
    <col min="4113" max="4353" width="9.140625" style="217"/>
    <col min="4354" max="4354" width="9.85546875" style="217" bestFit="1" customWidth="1"/>
    <col min="4355" max="4355" width="80.7109375" style="217" customWidth="1"/>
    <col min="4356" max="4356" width="6.28515625" style="217" bestFit="1" customWidth="1"/>
    <col min="4357" max="4357" width="13.7109375" style="217" customWidth="1"/>
    <col min="4358" max="4358" width="16.7109375" style="217" customWidth="1"/>
    <col min="4359" max="4359" width="19.42578125" style="217" customWidth="1"/>
    <col min="4360" max="4360" width="17" style="217" customWidth="1"/>
    <col min="4361" max="4361" width="13.7109375" style="217" customWidth="1"/>
    <col min="4362" max="4362" width="15.7109375" style="217" bestFit="1" customWidth="1"/>
    <col min="4363" max="4363" width="12.140625" style="217" bestFit="1" customWidth="1"/>
    <col min="4364" max="4364" width="17.140625" style="217" customWidth="1"/>
    <col min="4365" max="4365" width="16" style="217" bestFit="1" customWidth="1"/>
    <col min="4366" max="4366" width="13.7109375" style="217" customWidth="1"/>
    <col min="4367" max="4367" width="12.28515625" style="217" bestFit="1" customWidth="1"/>
    <col min="4368" max="4368" width="3.28515625" style="217" customWidth="1"/>
    <col min="4369" max="4609" width="9.140625" style="217"/>
    <col min="4610" max="4610" width="9.85546875" style="217" bestFit="1" customWidth="1"/>
    <col min="4611" max="4611" width="80.7109375" style="217" customWidth="1"/>
    <col min="4612" max="4612" width="6.28515625" style="217" bestFit="1" customWidth="1"/>
    <col min="4613" max="4613" width="13.7109375" style="217" customWidth="1"/>
    <col min="4614" max="4614" width="16.7109375" style="217" customWidth="1"/>
    <col min="4615" max="4615" width="19.42578125" style="217" customWidth="1"/>
    <col min="4616" max="4616" width="17" style="217" customWidth="1"/>
    <col min="4617" max="4617" width="13.7109375" style="217" customWidth="1"/>
    <col min="4618" max="4618" width="15.7109375" style="217" bestFit="1" customWidth="1"/>
    <col min="4619" max="4619" width="12.140625" style="217" bestFit="1" customWidth="1"/>
    <col min="4620" max="4620" width="17.140625" style="217" customWidth="1"/>
    <col min="4621" max="4621" width="16" style="217" bestFit="1" customWidth="1"/>
    <col min="4622" max="4622" width="13.7109375" style="217" customWidth="1"/>
    <col min="4623" max="4623" width="12.28515625" style="217" bestFit="1" customWidth="1"/>
    <col min="4624" max="4624" width="3.28515625" style="217" customWidth="1"/>
    <col min="4625" max="4865" width="9.140625" style="217"/>
    <col min="4866" max="4866" width="9.85546875" style="217" bestFit="1" customWidth="1"/>
    <col min="4867" max="4867" width="80.7109375" style="217" customWidth="1"/>
    <col min="4868" max="4868" width="6.28515625" style="217" bestFit="1" customWidth="1"/>
    <col min="4869" max="4869" width="13.7109375" style="217" customWidth="1"/>
    <col min="4870" max="4870" width="16.7109375" style="217" customWidth="1"/>
    <col min="4871" max="4871" width="19.42578125" style="217" customWidth="1"/>
    <col min="4872" max="4872" width="17" style="217" customWidth="1"/>
    <col min="4873" max="4873" width="13.7109375" style="217" customWidth="1"/>
    <col min="4874" max="4874" width="15.7109375" style="217" bestFit="1" customWidth="1"/>
    <col min="4875" max="4875" width="12.140625" style="217" bestFit="1" customWidth="1"/>
    <col min="4876" max="4876" width="17.140625" style="217" customWidth="1"/>
    <col min="4877" max="4877" width="16" style="217" bestFit="1" customWidth="1"/>
    <col min="4878" max="4878" width="13.7109375" style="217" customWidth="1"/>
    <col min="4879" max="4879" width="12.28515625" style="217" bestFit="1" customWidth="1"/>
    <col min="4880" max="4880" width="3.28515625" style="217" customWidth="1"/>
    <col min="4881" max="5121" width="9.140625" style="217"/>
    <col min="5122" max="5122" width="9.85546875" style="217" bestFit="1" customWidth="1"/>
    <col min="5123" max="5123" width="80.7109375" style="217" customWidth="1"/>
    <col min="5124" max="5124" width="6.28515625" style="217" bestFit="1" customWidth="1"/>
    <col min="5125" max="5125" width="13.7109375" style="217" customWidth="1"/>
    <col min="5126" max="5126" width="16.7109375" style="217" customWidth="1"/>
    <col min="5127" max="5127" width="19.42578125" style="217" customWidth="1"/>
    <col min="5128" max="5128" width="17" style="217" customWidth="1"/>
    <col min="5129" max="5129" width="13.7109375" style="217" customWidth="1"/>
    <col min="5130" max="5130" width="15.7109375" style="217" bestFit="1" customWidth="1"/>
    <col min="5131" max="5131" width="12.140625" style="217" bestFit="1" customWidth="1"/>
    <col min="5132" max="5132" width="17.140625" style="217" customWidth="1"/>
    <col min="5133" max="5133" width="16" style="217" bestFit="1" customWidth="1"/>
    <col min="5134" max="5134" width="13.7109375" style="217" customWidth="1"/>
    <col min="5135" max="5135" width="12.28515625" style="217" bestFit="1" customWidth="1"/>
    <col min="5136" max="5136" width="3.28515625" style="217" customWidth="1"/>
    <col min="5137" max="5377" width="9.140625" style="217"/>
    <col min="5378" max="5378" width="9.85546875" style="217" bestFit="1" customWidth="1"/>
    <col min="5379" max="5379" width="80.7109375" style="217" customWidth="1"/>
    <col min="5380" max="5380" width="6.28515625" style="217" bestFit="1" customWidth="1"/>
    <col min="5381" max="5381" width="13.7109375" style="217" customWidth="1"/>
    <col min="5382" max="5382" width="16.7109375" style="217" customWidth="1"/>
    <col min="5383" max="5383" width="19.42578125" style="217" customWidth="1"/>
    <col min="5384" max="5384" width="17" style="217" customWidth="1"/>
    <col min="5385" max="5385" width="13.7109375" style="217" customWidth="1"/>
    <col min="5386" max="5386" width="15.7109375" style="217" bestFit="1" customWidth="1"/>
    <col min="5387" max="5387" width="12.140625" style="217" bestFit="1" customWidth="1"/>
    <col min="5388" max="5388" width="17.140625" style="217" customWidth="1"/>
    <col min="5389" max="5389" width="16" style="217" bestFit="1" customWidth="1"/>
    <col min="5390" max="5390" width="13.7109375" style="217" customWidth="1"/>
    <col min="5391" max="5391" width="12.28515625" style="217" bestFit="1" customWidth="1"/>
    <col min="5392" max="5392" width="3.28515625" style="217" customWidth="1"/>
    <col min="5393" max="5633" width="9.140625" style="217"/>
    <col min="5634" max="5634" width="9.85546875" style="217" bestFit="1" customWidth="1"/>
    <col min="5635" max="5635" width="80.7109375" style="217" customWidth="1"/>
    <col min="5636" max="5636" width="6.28515625" style="217" bestFit="1" customWidth="1"/>
    <col min="5637" max="5637" width="13.7109375" style="217" customWidth="1"/>
    <col min="5638" max="5638" width="16.7109375" style="217" customWidth="1"/>
    <col min="5639" max="5639" width="19.42578125" style="217" customWidth="1"/>
    <col min="5640" max="5640" width="17" style="217" customWidth="1"/>
    <col min="5641" max="5641" width="13.7109375" style="217" customWidth="1"/>
    <col min="5642" max="5642" width="15.7109375" style="217" bestFit="1" customWidth="1"/>
    <col min="5643" max="5643" width="12.140625" style="217" bestFit="1" customWidth="1"/>
    <col min="5644" max="5644" width="17.140625" style="217" customWidth="1"/>
    <col min="5645" max="5645" width="16" style="217" bestFit="1" customWidth="1"/>
    <col min="5646" max="5646" width="13.7109375" style="217" customWidth="1"/>
    <col min="5647" max="5647" width="12.28515625" style="217" bestFit="1" customWidth="1"/>
    <col min="5648" max="5648" width="3.28515625" style="217" customWidth="1"/>
    <col min="5649" max="5889" width="9.140625" style="217"/>
    <col min="5890" max="5890" width="9.85546875" style="217" bestFit="1" customWidth="1"/>
    <col min="5891" max="5891" width="80.7109375" style="217" customWidth="1"/>
    <col min="5892" max="5892" width="6.28515625" style="217" bestFit="1" customWidth="1"/>
    <col min="5893" max="5893" width="13.7109375" style="217" customWidth="1"/>
    <col min="5894" max="5894" width="16.7109375" style="217" customWidth="1"/>
    <col min="5895" max="5895" width="19.42578125" style="217" customWidth="1"/>
    <col min="5896" max="5896" width="17" style="217" customWidth="1"/>
    <col min="5897" max="5897" width="13.7109375" style="217" customWidth="1"/>
    <col min="5898" max="5898" width="15.7109375" style="217" bestFit="1" customWidth="1"/>
    <col min="5899" max="5899" width="12.140625" style="217" bestFit="1" customWidth="1"/>
    <col min="5900" max="5900" width="17.140625" style="217" customWidth="1"/>
    <col min="5901" max="5901" width="16" style="217" bestFit="1" customWidth="1"/>
    <col min="5902" max="5902" width="13.7109375" style="217" customWidth="1"/>
    <col min="5903" max="5903" width="12.28515625" style="217" bestFit="1" customWidth="1"/>
    <col min="5904" max="5904" width="3.28515625" style="217" customWidth="1"/>
    <col min="5905" max="6145" width="9.140625" style="217"/>
    <col min="6146" max="6146" width="9.85546875" style="217" bestFit="1" customWidth="1"/>
    <col min="6147" max="6147" width="80.7109375" style="217" customWidth="1"/>
    <col min="6148" max="6148" width="6.28515625" style="217" bestFit="1" customWidth="1"/>
    <col min="6149" max="6149" width="13.7109375" style="217" customWidth="1"/>
    <col min="6150" max="6150" width="16.7109375" style="217" customWidth="1"/>
    <col min="6151" max="6151" width="19.42578125" style="217" customWidth="1"/>
    <col min="6152" max="6152" width="17" style="217" customWidth="1"/>
    <col min="6153" max="6153" width="13.7109375" style="217" customWidth="1"/>
    <col min="6154" max="6154" width="15.7109375" style="217" bestFit="1" customWidth="1"/>
    <col min="6155" max="6155" width="12.140625" style="217" bestFit="1" customWidth="1"/>
    <col min="6156" max="6156" width="17.140625" style="217" customWidth="1"/>
    <col min="6157" max="6157" width="16" style="217" bestFit="1" customWidth="1"/>
    <col min="6158" max="6158" width="13.7109375" style="217" customWidth="1"/>
    <col min="6159" max="6159" width="12.28515625" style="217" bestFit="1" customWidth="1"/>
    <col min="6160" max="6160" width="3.28515625" style="217" customWidth="1"/>
    <col min="6161" max="6401" width="9.140625" style="217"/>
    <col min="6402" max="6402" width="9.85546875" style="217" bestFit="1" customWidth="1"/>
    <col min="6403" max="6403" width="80.7109375" style="217" customWidth="1"/>
    <col min="6404" max="6404" width="6.28515625" style="217" bestFit="1" customWidth="1"/>
    <col min="6405" max="6405" width="13.7109375" style="217" customWidth="1"/>
    <col min="6406" max="6406" width="16.7109375" style="217" customWidth="1"/>
    <col min="6407" max="6407" width="19.42578125" style="217" customWidth="1"/>
    <col min="6408" max="6408" width="17" style="217" customWidth="1"/>
    <col min="6409" max="6409" width="13.7109375" style="217" customWidth="1"/>
    <col min="6410" max="6410" width="15.7109375" style="217" bestFit="1" customWidth="1"/>
    <col min="6411" max="6411" width="12.140625" style="217" bestFit="1" customWidth="1"/>
    <col min="6412" max="6412" width="17.140625" style="217" customWidth="1"/>
    <col min="6413" max="6413" width="16" style="217" bestFit="1" customWidth="1"/>
    <col min="6414" max="6414" width="13.7109375" style="217" customWidth="1"/>
    <col min="6415" max="6415" width="12.28515625" style="217" bestFit="1" customWidth="1"/>
    <col min="6416" max="6416" width="3.28515625" style="217" customWidth="1"/>
    <col min="6417" max="6657" width="9.140625" style="217"/>
    <col min="6658" max="6658" width="9.85546875" style="217" bestFit="1" customWidth="1"/>
    <col min="6659" max="6659" width="80.7109375" style="217" customWidth="1"/>
    <col min="6660" max="6660" width="6.28515625" style="217" bestFit="1" customWidth="1"/>
    <col min="6661" max="6661" width="13.7109375" style="217" customWidth="1"/>
    <col min="6662" max="6662" width="16.7109375" style="217" customWidth="1"/>
    <col min="6663" max="6663" width="19.42578125" style="217" customWidth="1"/>
    <col min="6664" max="6664" width="17" style="217" customWidth="1"/>
    <col min="6665" max="6665" width="13.7109375" style="217" customWidth="1"/>
    <col min="6666" max="6666" width="15.7109375" style="217" bestFit="1" customWidth="1"/>
    <col min="6667" max="6667" width="12.140625" style="217" bestFit="1" customWidth="1"/>
    <col min="6668" max="6668" width="17.140625" style="217" customWidth="1"/>
    <col min="6669" max="6669" width="16" style="217" bestFit="1" customWidth="1"/>
    <col min="6670" max="6670" width="13.7109375" style="217" customWidth="1"/>
    <col min="6671" max="6671" width="12.28515625" style="217" bestFit="1" customWidth="1"/>
    <col min="6672" max="6672" width="3.28515625" style="217" customWidth="1"/>
    <col min="6673" max="6913" width="9.140625" style="217"/>
    <col min="6914" max="6914" width="9.85546875" style="217" bestFit="1" customWidth="1"/>
    <col min="6915" max="6915" width="80.7109375" style="217" customWidth="1"/>
    <col min="6916" max="6916" width="6.28515625" style="217" bestFit="1" customWidth="1"/>
    <col min="6917" max="6917" width="13.7109375" style="217" customWidth="1"/>
    <col min="6918" max="6918" width="16.7109375" style="217" customWidth="1"/>
    <col min="6919" max="6919" width="19.42578125" style="217" customWidth="1"/>
    <col min="6920" max="6920" width="17" style="217" customWidth="1"/>
    <col min="6921" max="6921" width="13.7109375" style="217" customWidth="1"/>
    <col min="6922" max="6922" width="15.7109375" style="217" bestFit="1" customWidth="1"/>
    <col min="6923" max="6923" width="12.140625" style="217" bestFit="1" customWidth="1"/>
    <col min="6924" max="6924" width="17.140625" style="217" customWidth="1"/>
    <col min="6925" max="6925" width="16" style="217" bestFit="1" customWidth="1"/>
    <col min="6926" max="6926" width="13.7109375" style="217" customWidth="1"/>
    <col min="6927" max="6927" width="12.28515625" style="217" bestFit="1" customWidth="1"/>
    <col min="6928" max="6928" width="3.28515625" style="217" customWidth="1"/>
    <col min="6929" max="7169" width="9.140625" style="217"/>
    <col min="7170" max="7170" width="9.85546875" style="217" bestFit="1" customWidth="1"/>
    <col min="7171" max="7171" width="80.7109375" style="217" customWidth="1"/>
    <col min="7172" max="7172" width="6.28515625" style="217" bestFit="1" customWidth="1"/>
    <col min="7173" max="7173" width="13.7109375" style="217" customWidth="1"/>
    <col min="7174" max="7174" width="16.7109375" style="217" customWidth="1"/>
    <col min="7175" max="7175" width="19.42578125" style="217" customWidth="1"/>
    <col min="7176" max="7176" width="17" style="217" customWidth="1"/>
    <col min="7177" max="7177" width="13.7109375" style="217" customWidth="1"/>
    <col min="7178" max="7178" width="15.7109375" style="217" bestFit="1" customWidth="1"/>
    <col min="7179" max="7179" width="12.140625" style="217" bestFit="1" customWidth="1"/>
    <col min="7180" max="7180" width="17.140625" style="217" customWidth="1"/>
    <col min="7181" max="7181" width="16" style="217" bestFit="1" customWidth="1"/>
    <col min="7182" max="7182" width="13.7109375" style="217" customWidth="1"/>
    <col min="7183" max="7183" width="12.28515625" style="217" bestFit="1" customWidth="1"/>
    <col min="7184" max="7184" width="3.28515625" style="217" customWidth="1"/>
    <col min="7185" max="7425" width="9.140625" style="217"/>
    <col min="7426" max="7426" width="9.85546875" style="217" bestFit="1" customWidth="1"/>
    <col min="7427" max="7427" width="80.7109375" style="217" customWidth="1"/>
    <col min="7428" max="7428" width="6.28515625" style="217" bestFit="1" customWidth="1"/>
    <col min="7429" max="7429" width="13.7109375" style="217" customWidth="1"/>
    <col min="7430" max="7430" width="16.7109375" style="217" customWidth="1"/>
    <col min="7431" max="7431" width="19.42578125" style="217" customWidth="1"/>
    <col min="7432" max="7432" width="17" style="217" customWidth="1"/>
    <col min="7433" max="7433" width="13.7109375" style="217" customWidth="1"/>
    <col min="7434" max="7434" width="15.7109375" style="217" bestFit="1" customWidth="1"/>
    <col min="7435" max="7435" width="12.140625" style="217" bestFit="1" customWidth="1"/>
    <col min="7436" max="7436" width="17.140625" style="217" customWidth="1"/>
    <col min="7437" max="7437" width="16" style="217" bestFit="1" customWidth="1"/>
    <col min="7438" max="7438" width="13.7109375" style="217" customWidth="1"/>
    <col min="7439" max="7439" width="12.28515625" style="217" bestFit="1" customWidth="1"/>
    <col min="7440" max="7440" width="3.28515625" style="217" customWidth="1"/>
    <col min="7441" max="7681" width="9.140625" style="217"/>
    <col min="7682" max="7682" width="9.85546875" style="217" bestFit="1" customWidth="1"/>
    <col min="7683" max="7683" width="80.7109375" style="217" customWidth="1"/>
    <col min="7684" max="7684" width="6.28515625" style="217" bestFit="1" customWidth="1"/>
    <col min="7685" max="7685" width="13.7109375" style="217" customWidth="1"/>
    <col min="7686" max="7686" width="16.7109375" style="217" customWidth="1"/>
    <col min="7687" max="7687" width="19.42578125" style="217" customWidth="1"/>
    <col min="7688" max="7688" width="17" style="217" customWidth="1"/>
    <col min="7689" max="7689" width="13.7109375" style="217" customWidth="1"/>
    <col min="7690" max="7690" width="15.7109375" style="217" bestFit="1" customWidth="1"/>
    <col min="7691" max="7691" width="12.140625" style="217" bestFit="1" customWidth="1"/>
    <col min="7692" max="7692" width="17.140625" style="217" customWidth="1"/>
    <col min="7693" max="7693" width="16" style="217" bestFit="1" customWidth="1"/>
    <col min="7694" max="7694" width="13.7109375" style="217" customWidth="1"/>
    <col min="7695" max="7695" width="12.28515625" style="217" bestFit="1" customWidth="1"/>
    <col min="7696" max="7696" width="3.28515625" style="217" customWidth="1"/>
    <col min="7697" max="7937" width="9.140625" style="217"/>
    <col min="7938" max="7938" width="9.85546875" style="217" bestFit="1" customWidth="1"/>
    <col min="7939" max="7939" width="80.7109375" style="217" customWidth="1"/>
    <col min="7940" max="7940" width="6.28515625" style="217" bestFit="1" customWidth="1"/>
    <col min="7941" max="7941" width="13.7109375" style="217" customWidth="1"/>
    <col min="7942" max="7942" width="16.7109375" style="217" customWidth="1"/>
    <col min="7943" max="7943" width="19.42578125" style="217" customWidth="1"/>
    <col min="7944" max="7944" width="17" style="217" customWidth="1"/>
    <col min="7945" max="7945" width="13.7109375" style="217" customWidth="1"/>
    <col min="7946" max="7946" width="15.7109375" style="217" bestFit="1" customWidth="1"/>
    <col min="7947" max="7947" width="12.140625" style="217" bestFit="1" customWidth="1"/>
    <col min="7948" max="7948" width="17.140625" style="217" customWidth="1"/>
    <col min="7949" max="7949" width="16" style="217" bestFit="1" customWidth="1"/>
    <col min="7950" max="7950" width="13.7109375" style="217" customWidth="1"/>
    <col min="7951" max="7951" width="12.28515625" style="217" bestFit="1" customWidth="1"/>
    <col min="7952" max="7952" width="3.28515625" style="217" customWidth="1"/>
    <col min="7953" max="8193" width="9.140625" style="217"/>
    <col min="8194" max="8194" width="9.85546875" style="217" bestFit="1" customWidth="1"/>
    <col min="8195" max="8195" width="80.7109375" style="217" customWidth="1"/>
    <col min="8196" max="8196" width="6.28515625" style="217" bestFit="1" customWidth="1"/>
    <col min="8197" max="8197" width="13.7109375" style="217" customWidth="1"/>
    <col min="8198" max="8198" width="16.7109375" style="217" customWidth="1"/>
    <col min="8199" max="8199" width="19.42578125" style="217" customWidth="1"/>
    <col min="8200" max="8200" width="17" style="217" customWidth="1"/>
    <col min="8201" max="8201" width="13.7109375" style="217" customWidth="1"/>
    <col min="8202" max="8202" width="15.7109375" style="217" bestFit="1" customWidth="1"/>
    <col min="8203" max="8203" width="12.140625" style="217" bestFit="1" customWidth="1"/>
    <col min="8204" max="8204" width="17.140625" style="217" customWidth="1"/>
    <col min="8205" max="8205" width="16" style="217" bestFit="1" customWidth="1"/>
    <col min="8206" max="8206" width="13.7109375" style="217" customWidth="1"/>
    <col min="8207" max="8207" width="12.28515625" style="217" bestFit="1" customWidth="1"/>
    <col min="8208" max="8208" width="3.28515625" style="217" customWidth="1"/>
    <col min="8209" max="8449" width="9.140625" style="217"/>
    <col min="8450" max="8450" width="9.85546875" style="217" bestFit="1" customWidth="1"/>
    <col min="8451" max="8451" width="80.7109375" style="217" customWidth="1"/>
    <col min="8452" max="8452" width="6.28515625" style="217" bestFit="1" customWidth="1"/>
    <col min="8453" max="8453" width="13.7109375" style="217" customWidth="1"/>
    <col min="8454" max="8454" width="16.7109375" style="217" customWidth="1"/>
    <col min="8455" max="8455" width="19.42578125" style="217" customWidth="1"/>
    <col min="8456" max="8456" width="17" style="217" customWidth="1"/>
    <col min="8457" max="8457" width="13.7109375" style="217" customWidth="1"/>
    <col min="8458" max="8458" width="15.7109375" style="217" bestFit="1" customWidth="1"/>
    <col min="8459" max="8459" width="12.140625" style="217" bestFit="1" customWidth="1"/>
    <col min="8460" max="8460" width="17.140625" style="217" customWidth="1"/>
    <col min="8461" max="8461" width="16" style="217" bestFit="1" customWidth="1"/>
    <col min="8462" max="8462" width="13.7109375" style="217" customWidth="1"/>
    <col min="8463" max="8463" width="12.28515625" style="217" bestFit="1" customWidth="1"/>
    <col min="8464" max="8464" width="3.28515625" style="217" customWidth="1"/>
    <col min="8465" max="8705" width="9.140625" style="217"/>
    <col min="8706" max="8706" width="9.85546875" style="217" bestFit="1" customWidth="1"/>
    <col min="8707" max="8707" width="80.7109375" style="217" customWidth="1"/>
    <col min="8708" max="8708" width="6.28515625" style="217" bestFit="1" customWidth="1"/>
    <col min="8709" max="8709" width="13.7109375" style="217" customWidth="1"/>
    <col min="8710" max="8710" width="16.7109375" style="217" customWidth="1"/>
    <col min="8711" max="8711" width="19.42578125" style="217" customWidth="1"/>
    <col min="8712" max="8712" width="17" style="217" customWidth="1"/>
    <col min="8713" max="8713" width="13.7109375" style="217" customWidth="1"/>
    <col min="8714" max="8714" width="15.7109375" style="217" bestFit="1" customWidth="1"/>
    <col min="8715" max="8715" width="12.140625" style="217" bestFit="1" customWidth="1"/>
    <col min="8716" max="8716" width="17.140625" style="217" customWidth="1"/>
    <col min="8717" max="8717" width="16" style="217" bestFit="1" customWidth="1"/>
    <col min="8718" max="8718" width="13.7109375" style="217" customWidth="1"/>
    <col min="8719" max="8719" width="12.28515625" style="217" bestFit="1" customWidth="1"/>
    <col min="8720" max="8720" width="3.28515625" style="217" customWidth="1"/>
    <col min="8721" max="8961" width="9.140625" style="217"/>
    <col min="8962" max="8962" width="9.85546875" style="217" bestFit="1" customWidth="1"/>
    <col min="8963" max="8963" width="80.7109375" style="217" customWidth="1"/>
    <col min="8964" max="8964" width="6.28515625" style="217" bestFit="1" customWidth="1"/>
    <col min="8965" max="8965" width="13.7109375" style="217" customWidth="1"/>
    <col min="8966" max="8966" width="16.7109375" style="217" customWidth="1"/>
    <col min="8967" max="8967" width="19.42578125" style="217" customWidth="1"/>
    <col min="8968" max="8968" width="17" style="217" customWidth="1"/>
    <col min="8969" max="8969" width="13.7109375" style="217" customWidth="1"/>
    <col min="8970" max="8970" width="15.7109375" style="217" bestFit="1" customWidth="1"/>
    <col min="8971" max="8971" width="12.140625" style="217" bestFit="1" customWidth="1"/>
    <col min="8972" max="8972" width="17.140625" style="217" customWidth="1"/>
    <col min="8973" max="8973" width="16" style="217" bestFit="1" customWidth="1"/>
    <col min="8974" max="8974" width="13.7109375" style="217" customWidth="1"/>
    <col min="8975" max="8975" width="12.28515625" style="217" bestFit="1" customWidth="1"/>
    <col min="8976" max="8976" width="3.28515625" style="217" customWidth="1"/>
    <col min="8977" max="9217" width="9.140625" style="217"/>
    <col min="9218" max="9218" width="9.85546875" style="217" bestFit="1" customWidth="1"/>
    <col min="9219" max="9219" width="80.7109375" style="217" customWidth="1"/>
    <col min="9220" max="9220" width="6.28515625" style="217" bestFit="1" customWidth="1"/>
    <col min="9221" max="9221" width="13.7109375" style="217" customWidth="1"/>
    <col min="9222" max="9222" width="16.7109375" style="217" customWidth="1"/>
    <col min="9223" max="9223" width="19.42578125" style="217" customWidth="1"/>
    <col min="9224" max="9224" width="17" style="217" customWidth="1"/>
    <col min="9225" max="9225" width="13.7109375" style="217" customWidth="1"/>
    <col min="9226" max="9226" width="15.7109375" style="217" bestFit="1" customWidth="1"/>
    <col min="9227" max="9227" width="12.140625" style="217" bestFit="1" customWidth="1"/>
    <col min="9228" max="9228" width="17.140625" style="217" customWidth="1"/>
    <col min="9229" max="9229" width="16" style="217" bestFit="1" customWidth="1"/>
    <col min="9230" max="9230" width="13.7109375" style="217" customWidth="1"/>
    <col min="9231" max="9231" width="12.28515625" style="217" bestFit="1" customWidth="1"/>
    <col min="9232" max="9232" width="3.28515625" style="217" customWidth="1"/>
    <col min="9233" max="9473" width="9.140625" style="217"/>
    <col min="9474" max="9474" width="9.85546875" style="217" bestFit="1" customWidth="1"/>
    <col min="9475" max="9475" width="80.7109375" style="217" customWidth="1"/>
    <col min="9476" max="9476" width="6.28515625" style="217" bestFit="1" customWidth="1"/>
    <col min="9477" max="9477" width="13.7109375" style="217" customWidth="1"/>
    <col min="9478" max="9478" width="16.7109375" style="217" customWidth="1"/>
    <col min="9479" max="9479" width="19.42578125" style="217" customWidth="1"/>
    <col min="9480" max="9480" width="17" style="217" customWidth="1"/>
    <col min="9481" max="9481" width="13.7109375" style="217" customWidth="1"/>
    <col min="9482" max="9482" width="15.7109375" style="217" bestFit="1" customWidth="1"/>
    <col min="9483" max="9483" width="12.140625" style="217" bestFit="1" customWidth="1"/>
    <col min="9484" max="9484" width="17.140625" style="217" customWidth="1"/>
    <col min="9485" max="9485" width="16" style="217" bestFit="1" customWidth="1"/>
    <col min="9486" max="9486" width="13.7109375" style="217" customWidth="1"/>
    <col min="9487" max="9487" width="12.28515625" style="217" bestFit="1" customWidth="1"/>
    <col min="9488" max="9488" width="3.28515625" style="217" customWidth="1"/>
    <col min="9489" max="9729" width="9.140625" style="217"/>
    <col min="9730" max="9730" width="9.85546875" style="217" bestFit="1" customWidth="1"/>
    <col min="9731" max="9731" width="80.7109375" style="217" customWidth="1"/>
    <col min="9732" max="9732" width="6.28515625" style="217" bestFit="1" customWidth="1"/>
    <col min="9733" max="9733" width="13.7109375" style="217" customWidth="1"/>
    <col min="9734" max="9734" width="16.7109375" style="217" customWidth="1"/>
    <col min="9735" max="9735" width="19.42578125" style="217" customWidth="1"/>
    <col min="9736" max="9736" width="17" style="217" customWidth="1"/>
    <col min="9737" max="9737" width="13.7109375" style="217" customWidth="1"/>
    <col min="9738" max="9738" width="15.7109375" style="217" bestFit="1" customWidth="1"/>
    <col min="9739" max="9739" width="12.140625" style="217" bestFit="1" customWidth="1"/>
    <col min="9740" max="9740" width="17.140625" style="217" customWidth="1"/>
    <col min="9741" max="9741" width="16" style="217" bestFit="1" customWidth="1"/>
    <col min="9742" max="9742" width="13.7109375" style="217" customWidth="1"/>
    <col min="9743" max="9743" width="12.28515625" style="217" bestFit="1" customWidth="1"/>
    <col min="9744" max="9744" width="3.28515625" style="217" customWidth="1"/>
    <col min="9745" max="9985" width="9.140625" style="217"/>
    <col min="9986" max="9986" width="9.85546875" style="217" bestFit="1" customWidth="1"/>
    <col min="9987" max="9987" width="80.7109375" style="217" customWidth="1"/>
    <col min="9988" max="9988" width="6.28515625" style="217" bestFit="1" customWidth="1"/>
    <col min="9989" max="9989" width="13.7109375" style="217" customWidth="1"/>
    <col min="9990" max="9990" width="16.7109375" style="217" customWidth="1"/>
    <col min="9991" max="9991" width="19.42578125" style="217" customWidth="1"/>
    <col min="9992" max="9992" width="17" style="217" customWidth="1"/>
    <col min="9993" max="9993" width="13.7109375" style="217" customWidth="1"/>
    <col min="9994" max="9994" width="15.7109375" style="217" bestFit="1" customWidth="1"/>
    <col min="9995" max="9995" width="12.140625" style="217" bestFit="1" customWidth="1"/>
    <col min="9996" max="9996" width="17.140625" style="217" customWidth="1"/>
    <col min="9997" max="9997" width="16" style="217" bestFit="1" customWidth="1"/>
    <col min="9998" max="9998" width="13.7109375" style="217" customWidth="1"/>
    <col min="9999" max="9999" width="12.28515625" style="217" bestFit="1" customWidth="1"/>
    <col min="10000" max="10000" width="3.28515625" style="217" customWidth="1"/>
    <col min="10001" max="10241" width="9.140625" style="217"/>
    <col min="10242" max="10242" width="9.85546875" style="217" bestFit="1" customWidth="1"/>
    <col min="10243" max="10243" width="80.7109375" style="217" customWidth="1"/>
    <col min="10244" max="10244" width="6.28515625" style="217" bestFit="1" customWidth="1"/>
    <col min="10245" max="10245" width="13.7109375" style="217" customWidth="1"/>
    <col min="10246" max="10246" width="16.7109375" style="217" customWidth="1"/>
    <col min="10247" max="10247" width="19.42578125" style="217" customWidth="1"/>
    <col min="10248" max="10248" width="17" style="217" customWidth="1"/>
    <col min="10249" max="10249" width="13.7109375" style="217" customWidth="1"/>
    <col min="10250" max="10250" width="15.7109375" style="217" bestFit="1" customWidth="1"/>
    <col min="10251" max="10251" width="12.140625" style="217" bestFit="1" customWidth="1"/>
    <col min="10252" max="10252" width="17.140625" style="217" customWidth="1"/>
    <col min="10253" max="10253" width="16" style="217" bestFit="1" customWidth="1"/>
    <col min="10254" max="10254" width="13.7109375" style="217" customWidth="1"/>
    <col min="10255" max="10255" width="12.28515625" style="217" bestFit="1" customWidth="1"/>
    <col min="10256" max="10256" width="3.28515625" style="217" customWidth="1"/>
    <col min="10257" max="10497" width="9.140625" style="217"/>
    <col min="10498" max="10498" width="9.85546875" style="217" bestFit="1" customWidth="1"/>
    <col min="10499" max="10499" width="80.7109375" style="217" customWidth="1"/>
    <col min="10500" max="10500" width="6.28515625" style="217" bestFit="1" customWidth="1"/>
    <col min="10501" max="10501" width="13.7109375" style="217" customWidth="1"/>
    <col min="10502" max="10502" width="16.7109375" style="217" customWidth="1"/>
    <col min="10503" max="10503" width="19.42578125" style="217" customWidth="1"/>
    <col min="10504" max="10504" width="17" style="217" customWidth="1"/>
    <col min="10505" max="10505" width="13.7109375" style="217" customWidth="1"/>
    <col min="10506" max="10506" width="15.7109375" style="217" bestFit="1" customWidth="1"/>
    <col min="10507" max="10507" width="12.140625" style="217" bestFit="1" customWidth="1"/>
    <col min="10508" max="10508" width="17.140625" style="217" customWidth="1"/>
    <col min="10509" max="10509" width="16" style="217" bestFit="1" customWidth="1"/>
    <col min="10510" max="10510" width="13.7109375" style="217" customWidth="1"/>
    <col min="10511" max="10511" width="12.28515625" style="217" bestFit="1" customWidth="1"/>
    <col min="10512" max="10512" width="3.28515625" style="217" customWidth="1"/>
    <col min="10513" max="10753" width="9.140625" style="217"/>
    <col min="10754" max="10754" width="9.85546875" style="217" bestFit="1" customWidth="1"/>
    <col min="10755" max="10755" width="80.7109375" style="217" customWidth="1"/>
    <col min="10756" max="10756" width="6.28515625" style="217" bestFit="1" customWidth="1"/>
    <col min="10757" max="10757" width="13.7109375" style="217" customWidth="1"/>
    <col min="10758" max="10758" width="16.7109375" style="217" customWidth="1"/>
    <col min="10759" max="10759" width="19.42578125" style="217" customWidth="1"/>
    <col min="10760" max="10760" width="17" style="217" customWidth="1"/>
    <col min="10761" max="10761" width="13.7109375" style="217" customWidth="1"/>
    <col min="10762" max="10762" width="15.7109375" style="217" bestFit="1" customWidth="1"/>
    <col min="10763" max="10763" width="12.140625" style="217" bestFit="1" customWidth="1"/>
    <col min="10764" max="10764" width="17.140625" style="217" customWidth="1"/>
    <col min="10765" max="10765" width="16" style="217" bestFit="1" customWidth="1"/>
    <col min="10766" max="10766" width="13.7109375" style="217" customWidth="1"/>
    <col min="10767" max="10767" width="12.28515625" style="217" bestFit="1" customWidth="1"/>
    <col min="10768" max="10768" width="3.28515625" style="217" customWidth="1"/>
    <col min="10769" max="11009" width="9.140625" style="217"/>
    <col min="11010" max="11010" width="9.85546875" style="217" bestFit="1" customWidth="1"/>
    <col min="11011" max="11011" width="80.7109375" style="217" customWidth="1"/>
    <col min="11012" max="11012" width="6.28515625" style="217" bestFit="1" customWidth="1"/>
    <col min="11013" max="11013" width="13.7109375" style="217" customWidth="1"/>
    <col min="11014" max="11014" width="16.7109375" style="217" customWidth="1"/>
    <col min="11015" max="11015" width="19.42578125" style="217" customWidth="1"/>
    <col min="11016" max="11016" width="17" style="217" customWidth="1"/>
    <col min="11017" max="11017" width="13.7109375" style="217" customWidth="1"/>
    <col min="11018" max="11018" width="15.7109375" style="217" bestFit="1" customWidth="1"/>
    <col min="11019" max="11019" width="12.140625" style="217" bestFit="1" customWidth="1"/>
    <col min="11020" max="11020" width="17.140625" style="217" customWidth="1"/>
    <col min="11021" max="11021" width="16" style="217" bestFit="1" customWidth="1"/>
    <col min="11022" max="11022" width="13.7109375" style="217" customWidth="1"/>
    <col min="11023" max="11023" width="12.28515625" style="217" bestFit="1" customWidth="1"/>
    <col min="11024" max="11024" width="3.28515625" style="217" customWidth="1"/>
    <col min="11025" max="11265" width="9.140625" style="217"/>
    <col min="11266" max="11266" width="9.85546875" style="217" bestFit="1" customWidth="1"/>
    <col min="11267" max="11267" width="80.7109375" style="217" customWidth="1"/>
    <col min="11268" max="11268" width="6.28515625" style="217" bestFit="1" customWidth="1"/>
    <col min="11269" max="11269" width="13.7109375" style="217" customWidth="1"/>
    <col min="11270" max="11270" width="16.7109375" style="217" customWidth="1"/>
    <col min="11271" max="11271" width="19.42578125" style="217" customWidth="1"/>
    <col min="11272" max="11272" width="17" style="217" customWidth="1"/>
    <col min="11273" max="11273" width="13.7109375" style="217" customWidth="1"/>
    <col min="11274" max="11274" width="15.7109375" style="217" bestFit="1" customWidth="1"/>
    <col min="11275" max="11275" width="12.140625" style="217" bestFit="1" customWidth="1"/>
    <col min="11276" max="11276" width="17.140625" style="217" customWidth="1"/>
    <col min="11277" max="11277" width="16" style="217" bestFit="1" customWidth="1"/>
    <col min="11278" max="11278" width="13.7109375" style="217" customWidth="1"/>
    <col min="11279" max="11279" width="12.28515625" style="217" bestFit="1" customWidth="1"/>
    <col min="11280" max="11280" width="3.28515625" style="217" customWidth="1"/>
    <col min="11281" max="11521" width="9.140625" style="217"/>
    <col min="11522" max="11522" width="9.85546875" style="217" bestFit="1" customWidth="1"/>
    <col min="11523" max="11523" width="80.7109375" style="217" customWidth="1"/>
    <col min="11524" max="11524" width="6.28515625" style="217" bestFit="1" customWidth="1"/>
    <col min="11525" max="11525" width="13.7109375" style="217" customWidth="1"/>
    <col min="11526" max="11526" width="16.7109375" style="217" customWidth="1"/>
    <col min="11527" max="11527" width="19.42578125" style="217" customWidth="1"/>
    <col min="11528" max="11528" width="17" style="217" customWidth="1"/>
    <col min="11529" max="11529" width="13.7109375" style="217" customWidth="1"/>
    <col min="11530" max="11530" width="15.7109375" style="217" bestFit="1" customWidth="1"/>
    <col min="11531" max="11531" width="12.140625" style="217" bestFit="1" customWidth="1"/>
    <col min="11532" max="11532" width="17.140625" style="217" customWidth="1"/>
    <col min="11533" max="11533" width="16" style="217" bestFit="1" customWidth="1"/>
    <col min="11534" max="11534" width="13.7109375" style="217" customWidth="1"/>
    <col min="11535" max="11535" width="12.28515625" style="217" bestFit="1" customWidth="1"/>
    <col min="11536" max="11536" width="3.28515625" style="217" customWidth="1"/>
    <col min="11537" max="11777" width="9.140625" style="217"/>
    <col min="11778" max="11778" width="9.85546875" style="217" bestFit="1" customWidth="1"/>
    <col min="11779" max="11779" width="80.7109375" style="217" customWidth="1"/>
    <col min="11780" max="11780" width="6.28515625" style="217" bestFit="1" customWidth="1"/>
    <col min="11781" max="11781" width="13.7109375" style="217" customWidth="1"/>
    <col min="11782" max="11782" width="16.7109375" style="217" customWidth="1"/>
    <col min="11783" max="11783" width="19.42578125" style="217" customWidth="1"/>
    <col min="11784" max="11784" width="17" style="217" customWidth="1"/>
    <col min="11785" max="11785" width="13.7109375" style="217" customWidth="1"/>
    <col min="11786" max="11786" width="15.7109375" style="217" bestFit="1" customWidth="1"/>
    <col min="11787" max="11787" width="12.140625" style="217" bestFit="1" customWidth="1"/>
    <col min="11788" max="11788" width="17.140625" style="217" customWidth="1"/>
    <col min="11789" max="11789" width="16" style="217" bestFit="1" customWidth="1"/>
    <col min="11790" max="11790" width="13.7109375" style="217" customWidth="1"/>
    <col min="11791" max="11791" width="12.28515625" style="217" bestFit="1" customWidth="1"/>
    <col min="11792" max="11792" width="3.28515625" style="217" customWidth="1"/>
    <col min="11793" max="12033" width="9.140625" style="217"/>
    <col min="12034" max="12034" width="9.85546875" style="217" bestFit="1" customWidth="1"/>
    <col min="12035" max="12035" width="80.7109375" style="217" customWidth="1"/>
    <col min="12036" max="12036" width="6.28515625" style="217" bestFit="1" customWidth="1"/>
    <col min="12037" max="12037" width="13.7109375" style="217" customWidth="1"/>
    <col min="12038" max="12038" width="16.7109375" style="217" customWidth="1"/>
    <col min="12039" max="12039" width="19.42578125" style="217" customWidth="1"/>
    <col min="12040" max="12040" width="17" style="217" customWidth="1"/>
    <col min="12041" max="12041" width="13.7109375" style="217" customWidth="1"/>
    <col min="12042" max="12042" width="15.7109375" style="217" bestFit="1" customWidth="1"/>
    <col min="12043" max="12043" width="12.140625" style="217" bestFit="1" customWidth="1"/>
    <col min="12044" max="12044" width="17.140625" style="217" customWidth="1"/>
    <col min="12045" max="12045" width="16" style="217" bestFit="1" customWidth="1"/>
    <col min="12046" max="12046" width="13.7109375" style="217" customWidth="1"/>
    <col min="12047" max="12047" width="12.28515625" style="217" bestFit="1" customWidth="1"/>
    <col min="12048" max="12048" width="3.28515625" style="217" customWidth="1"/>
    <col min="12049" max="12289" width="9.140625" style="217"/>
    <col min="12290" max="12290" width="9.85546875" style="217" bestFit="1" customWidth="1"/>
    <col min="12291" max="12291" width="80.7109375" style="217" customWidth="1"/>
    <col min="12292" max="12292" width="6.28515625" style="217" bestFit="1" customWidth="1"/>
    <col min="12293" max="12293" width="13.7109375" style="217" customWidth="1"/>
    <col min="12294" max="12294" width="16.7109375" style="217" customWidth="1"/>
    <col min="12295" max="12295" width="19.42578125" style="217" customWidth="1"/>
    <col min="12296" max="12296" width="17" style="217" customWidth="1"/>
    <col min="12297" max="12297" width="13.7109375" style="217" customWidth="1"/>
    <col min="12298" max="12298" width="15.7109375" style="217" bestFit="1" customWidth="1"/>
    <col min="12299" max="12299" width="12.140625" style="217" bestFit="1" customWidth="1"/>
    <col min="12300" max="12300" width="17.140625" style="217" customWidth="1"/>
    <col min="12301" max="12301" width="16" style="217" bestFit="1" customWidth="1"/>
    <col min="12302" max="12302" width="13.7109375" style="217" customWidth="1"/>
    <col min="12303" max="12303" width="12.28515625" style="217" bestFit="1" customWidth="1"/>
    <col min="12304" max="12304" width="3.28515625" style="217" customWidth="1"/>
    <col min="12305" max="12545" width="9.140625" style="217"/>
    <col min="12546" max="12546" width="9.85546875" style="217" bestFit="1" customWidth="1"/>
    <col min="12547" max="12547" width="80.7109375" style="217" customWidth="1"/>
    <col min="12548" max="12548" width="6.28515625" style="217" bestFit="1" customWidth="1"/>
    <col min="12549" max="12549" width="13.7109375" style="217" customWidth="1"/>
    <col min="12550" max="12550" width="16.7109375" style="217" customWidth="1"/>
    <col min="12551" max="12551" width="19.42578125" style="217" customWidth="1"/>
    <col min="12552" max="12552" width="17" style="217" customWidth="1"/>
    <col min="12553" max="12553" width="13.7109375" style="217" customWidth="1"/>
    <col min="12554" max="12554" width="15.7109375" style="217" bestFit="1" customWidth="1"/>
    <col min="12555" max="12555" width="12.140625" style="217" bestFit="1" customWidth="1"/>
    <col min="12556" max="12556" width="17.140625" style="217" customWidth="1"/>
    <col min="12557" max="12557" width="16" style="217" bestFit="1" customWidth="1"/>
    <col min="12558" max="12558" width="13.7109375" style="217" customWidth="1"/>
    <col min="12559" max="12559" width="12.28515625" style="217" bestFit="1" customWidth="1"/>
    <col min="12560" max="12560" width="3.28515625" style="217" customWidth="1"/>
    <col min="12561" max="12801" width="9.140625" style="217"/>
    <col min="12802" max="12802" width="9.85546875" style="217" bestFit="1" customWidth="1"/>
    <col min="12803" max="12803" width="80.7109375" style="217" customWidth="1"/>
    <col min="12804" max="12804" width="6.28515625" style="217" bestFit="1" customWidth="1"/>
    <col min="12805" max="12805" width="13.7109375" style="217" customWidth="1"/>
    <col min="12806" max="12806" width="16.7109375" style="217" customWidth="1"/>
    <col min="12807" max="12807" width="19.42578125" style="217" customWidth="1"/>
    <col min="12808" max="12808" width="17" style="217" customWidth="1"/>
    <col min="12809" max="12809" width="13.7109375" style="217" customWidth="1"/>
    <col min="12810" max="12810" width="15.7109375" style="217" bestFit="1" customWidth="1"/>
    <col min="12811" max="12811" width="12.140625" style="217" bestFit="1" customWidth="1"/>
    <col min="12812" max="12812" width="17.140625" style="217" customWidth="1"/>
    <col min="12813" max="12813" width="16" style="217" bestFit="1" customWidth="1"/>
    <col min="12814" max="12814" width="13.7109375" style="217" customWidth="1"/>
    <col min="12815" max="12815" width="12.28515625" style="217" bestFit="1" customWidth="1"/>
    <col min="12816" max="12816" width="3.28515625" style="217" customWidth="1"/>
    <col min="12817" max="13057" width="9.140625" style="217"/>
    <col min="13058" max="13058" width="9.85546875" style="217" bestFit="1" customWidth="1"/>
    <col min="13059" max="13059" width="80.7109375" style="217" customWidth="1"/>
    <col min="13060" max="13060" width="6.28515625" style="217" bestFit="1" customWidth="1"/>
    <col min="13061" max="13061" width="13.7109375" style="217" customWidth="1"/>
    <col min="13062" max="13062" width="16.7109375" style="217" customWidth="1"/>
    <col min="13063" max="13063" width="19.42578125" style="217" customWidth="1"/>
    <col min="13064" max="13064" width="17" style="217" customWidth="1"/>
    <col min="13065" max="13065" width="13.7109375" style="217" customWidth="1"/>
    <col min="13066" max="13066" width="15.7109375" style="217" bestFit="1" customWidth="1"/>
    <col min="13067" max="13067" width="12.140625" style="217" bestFit="1" customWidth="1"/>
    <col min="13068" max="13068" width="17.140625" style="217" customWidth="1"/>
    <col min="13069" max="13069" width="16" style="217" bestFit="1" customWidth="1"/>
    <col min="13070" max="13070" width="13.7109375" style="217" customWidth="1"/>
    <col min="13071" max="13071" width="12.28515625" style="217" bestFit="1" customWidth="1"/>
    <col min="13072" max="13072" width="3.28515625" style="217" customWidth="1"/>
    <col min="13073" max="13313" width="9.140625" style="217"/>
    <col min="13314" max="13314" width="9.85546875" style="217" bestFit="1" customWidth="1"/>
    <col min="13315" max="13315" width="80.7109375" style="217" customWidth="1"/>
    <col min="13316" max="13316" width="6.28515625" style="217" bestFit="1" customWidth="1"/>
    <col min="13317" max="13317" width="13.7109375" style="217" customWidth="1"/>
    <col min="13318" max="13318" width="16.7109375" style="217" customWidth="1"/>
    <col min="13319" max="13319" width="19.42578125" style="217" customWidth="1"/>
    <col min="13320" max="13320" width="17" style="217" customWidth="1"/>
    <col min="13321" max="13321" width="13.7109375" style="217" customWidth="1"/>
    <col min="13322" max="13322" width="15.7109375" style="217" bestFit="1" customWidth="1"/>
    <col min="13323" max="13323" width="12.140625" style="217" bestFit="1" customWidth="1"/>
    <col min="13324" max="13324" width="17.140625" style="217" customWidth="1"/>
    <col min="13325" max="13325" width="16" style="217" bestFit="1" customWidth="1"/>
    <col min="13326" max="13326" width="13.7109375" style="217" customWidth="1"/>
    <col min="13327" max="13327" width="12.28515625" style="217" bestFit="1" customWidth="1"/>
    <col min="13328" max="13328" width="3.28515625" style="217" customWidth="1"/>
    <col min="13329" max="13569" width="9.140625" style="217"/>
    <col min="13570" max="13570" width="9.85546875" style="217" bestFit="1" customWidth="1"/>
    <col min="13571" max="13571" width="80.7109375" style="217" customWidth="1"/>
    <col min="13572" max="13572" width="6.28515625" style="217" bestFit="1" customWidth="1"/>
    <col min="13573" max="13573" width="13.7109375" style="217" customWidth="1"/>
    <col min="13574" max="13574" width="16.7109375" style="217" customWidth="1"/>
    <col min="13575" max="13575" width="19.42578125" style="217" customWidth="1"/>
    <col min="13576" max="13576" width="17" style="217" customWidth="1"/>
    <col min="13577" max="13577" width="13.7109375" style="217" customWidth="1"/>
    <col min="13578" max="13578" width="15.7109375" style="217" bestFit="1" customWidth="1"/>
    <col min="13579" max="13579" width="12.140625" style="217" bestFit="1" customWidth="1"/>
    <col min="13580" max="13580" width="17.140625" style="217" customWidth="1"/>
    <col min="13581" max="13581" width="16" style="217" bestFit="1" customWidth="1"/>
    <col min="13582" max="13582" width="13.7109375" style="217" customWidth="1"/>
    <col min="13583" max="13583" width="12.28515625" style="217" bestFit="1" customWidth="1"/>
    <col min="13584" max="13584" width="3.28515625" style="217" customWidth="1"/>
    <col min="13585" max="13825" width="9.140625" style="217"/>
    <col min="13826" max="13826" width="9.85546875" style="217" bestFit="1" customWidth="1"/>
    <col min="13827" max="13827" width="80.7109375" style="217" customWidth="1"/>
    <col min="13828" max="13828" width="6.28515625" style="217" bestFit="1" customWidth="1"/>
    <col min="13829" max="13829" width="13.7109375" style="217" customWidth="1"/>
    <col min="13830" max="13830" width="16.7109375" style="217" customWidth="1"/>
    <col min="13831" max="13831" width="19.42578125" style="217" customWidth="1"/>
    <col min="13832" max="13832" width="17" style="217" customWidth="1"/>
    <col min="13833" max="13833" width="13.7109375" style="217" customWidth="1"/>
    <col min="13834" max="13834" width="15.7109375" style="217" bestFit="1" customWidth="1"/>
    <col min="13835" max="13835" width="12.140625" style="217" bestFit="1" customWidth="1"/>
    <col min="13836" max="13836" width="17.140625" style="217" customWidth="1"/>
    <col min="13837" max="13837" width="16" style="217" bestFit="1" customWidth="1"/>
    <col min="13838" max="13838" width="13.7109375" style="217" customWidth="1"/>
    <col min="13839" max="13839" width="12.28515625" style="217" bestFit="1" customWidth="1"/>
    <col min="13840" max="13840" width="3.28515625" style="217" customWidth="1"/>
    <col min="13841" max="14081" width="9.140625" style="217"/>
    <col min="14082" max="14082" width="9.85546875" style="217" bestFit="1" customWidth="1"/>
    <col min="14083" max="14083" width="80.7109375" style="217" customWidth="1"/>
    <col min="14084" max="14084" width="6.28515625" style="217" bestFit="1" customWidth="1"/>
    <col min="14085" max="14085" width="13.7109375" style="217" customWidth="1"/>
    <col min="14086" max="14086" width="16.7109375" style="217" customWidth="1"/>
    <col min="14087" max="14087" width="19.42578125" style="217" customWidth="1"/>
    <col min="14088" max="14088" width="17" style="217" customWidth="1"/>
    <col min="14089" max="14089" width="13.7109375" style="217" customWidth="1"/>
    <col min="14090" max="14090" width="15.7109375" style="217" bestFit="1" customWidth="1"/>
    <col min="14091" max="14091" width="12.140625" style="217" bestFit="1" customWidth="1"/>
    <col min="14092" max="14092" width="17.140625" style="217" customWidth="1"/>
    <col min="14093" max="14093" width="16" style="217" bestFit="1" customWidth="1"/>
    <col min="14094" max="14094" width="13.7109375" style="217" customWidth="1"/>
    <col min="14095" max="14095" width="12.28515625" style="217" bestFit="1" customWidth="1"/>
    <col min="14096" max="14096" width="3.28515625" style="217" customWidth="1"/>
    <col min="14097" max="14337" width="9.140625" style="217"/>
    <col min="14338" max="14338" width="9.85546875" style="217" bestFit="1" customWidth="1"/>
    <col min="14339" max="14339" width="80.7109375" style="217" customWidth="1"/>
    <col min="14340" max="14340" width="6.28515625" style="217" bestFit="1" customWidth="1"/>
    <col min="14341" max="14341" width="13.7109375" style="217" customWidth="1"/>
    <col min="14342" max="14342" width="16.7109375" style="217" customWidth="1"/>
    <col min="14343" max="14343" width="19.42578125" style="217" customWidth="1"/>
    <col min="14344" max="14344" width="17" style="217" customWidth="1"/>
    <col min="14345" max="14345" width="13.7109375" style="217" customWidth="1"/>
    <col min="14346" max="14346" width="15.7109375" style="217" bestFit="1" customWidth="1"/>
    <col min="14347" max="14347" width="12.140625" style="217" bestFit="1" customWidth="1"/>
    <col min="14348" max="14348" width="17.140625" style="217" customWidth="1"/>
    <col min="14349" max="14349" width="16" style="217" bestFit="1" customWidth="1"/>
    <col min="14350" max="14350" width="13.7109375" style="217" customWidth="1"/>
    <col min="14351" max="14351" width="12.28515625" style="217" bestFit="1" customWidth="1"/>
    <col min="14352" max="14352" width="3.28515625" style="217" customWidth="1"/>
    <col min="14353" max="14593" width="9.140625" style="217"/>
    <col min="14594" max="14594" width="9.85546875" style="217" bestFit="1" customWidth="1"/>
    <col min="14595" max="14595" width="80.7109375" style="217" customWidth="1"/>
    <col min="14596" max="14596" width="6.28515625" style="217" bestFit="1" customWidth="1"/>
    <col min="14597" max="14597" width="13.7109375" style="217" customWidth="1"/>
    <col min="14598" max="14598" width="16.7109375" style="217" customWidth="1"/>
    <col min="14599" max="14599" width="19.42578125" style="217" customWidth="1"/>
    <col min="14600" max="14600" width="17" style="217" customWidth="1"/>
    <col min="14601" max="14601" width="13.7109375" style="217" customWidth="1"/>
    <col min="14602" max="14602" width="15.7109375" style="217" bestFit="1" customWidth="1"/>
    <col min="14603" max="14603" width="12.140625" style="217" bestFit="1" customWidth="1"/>
    <col min="14604" max="14604" width="17.140625" style="217" customWidth="1"/>
    <col min="14605" max="14605" width="16" style="217" bestFit="1" customWidth="1"/>
    <col min="14606" max="14606" width="13.7109375" style="217" customWidth="1"/>
    <col min="14607" max="14607" width="12.28515625" style="217" bestFit="1" customWidth="1"/>
    <col min="14608" max="14608" width="3.28515625" style="217" customWidth="1"/>
    <col min="14609" max="14849" width="9.140625" style="217"/>
    <col min="14850" max="14850" width="9.85546875" style="217" bestFit="1" customWidth="1"/>
    <col min="14851" max="14851" width="80.7109375" style="217" customWidth="1"/>
    <col min="14852" max="14852" width="6.28515625" style="217" bestFit="1" customWidth="1"/>
    <col min="14853" max="14853" width="13.7109375" style="217" customWidth="1"/>
    <col min="14854" max="14854" width="16.7109375" style="217" customWidth="1"/>
    <col min="14855" max="14855" width="19.42578125" style="217" customWidth="1"/>
    <col min="14856" max="14856" width="17" style="217" customWidth="1"/>
    <col min="14857" max="14857" width="13.7109375" style="217" customWidth="1"/>
    <col min="14858" max="14858" width="15.7109375" style="217" bestFit="1" customWidth="1"/>
    <col min="14859" max="14859" width="12.140625" style="217" bestFit="1" customWidth="1"/>
    <col min="14860" max="14860" width="17.140625" style="217" customWidth="1"/>
    <col min="14861" max="14861" width="16" style="217" bestFit="1" customWidth="1"/>
    <col min="14862" max="14862" width="13.7109375" style="217" customWidth="1"/>
    <col min="14863" max="14863" width="12.28515625" style="217" bestFit="1" customWidth="1"/>
    <col min="14864" max="14864" width="3.28515625" style="217" customWidth="1"/>
    <col min="14865" max="15105" width="9.140625" style="217"/>
    <col min="15106" max="15106" width="9.85546875" style="217" bestFit="1" customWidth="1"/>
    <col min="15107" max="15107" width="80.7109375" style="217" customWidth="1"/>
    <col min="15108" max="15108" width="6.28515625" style="217" bestFit="1" customWidth="1"/>
    <col min="15109" max="15109" width="13.7109375" style="217" customWidth="1"/>
    <col min="15110" max="15110" width="16.7109375" style="217" customWidth="1"/>
    <col min="15111" max="15111" width="19.42578125" style="217" customWidth="1"/>
    <col min="15112" max="15112" width="17" style="217" customWidth="1"/>
    <col min="15113" max="15113" width="13.7109375" style="217" customWidth="1"/>
    <col min="15114" max="15114" width="15.7109375" style="217" bestFit="1" customWidth="1"/>
    <col min="15115" max="15115" width="12.140625" style="217" bestFit="1" customWidth="1"/>
    <col min="15116" max="15116" width="17.140625" style="217" customWidth="1"/>
    <col min="15117" max="15117" width="16" style="217" bestFit="1" customWidth="1"/>
    <col min="15118" max="15118" width="13.7109375" style="217" customWidth="1"/>
    <col min="15119" max="15119" width="12.28515625" style="217" bestFit="1" customWidth="1"/>
    <col min="15120" max="15120" width="3.28515625" style="217" customWidth="1"/>
    <col min="15121" max="15361" width="9.140625" style="217"/>
    <col min="15362" max="15362" width="9.85546875" style="217" bestFit="1" customWidth="1"/>
    <col min="15363" max="15363" width="80.7109375" style="217" customWidth="1"/>
    <col min="15364" max="15364" width="6.28515625" style="217" bestFit="1" customWidth="1"/>
    <col min="15365" max="15365" width="13.7109375" style="217" customWidth="1"/>
    <col min="15366" max="15366" width="16.7109375" style="217" customWidth="1"/>
    <col min="15367" max="15367" width="19.42578125" style="217" customWidth="1"/>
    <col min="15368" max="15368" width="17" style="217" customWidth="1"/>
    <col min="15369" max="15369" width="13.7109375" style="217" customWidth="1"/>
    <col min="15370" max="15370" width="15.7109375" style="217" bestFit="1" customWidth="1"/>
    <col min="15371" max="15371" width="12.140625" style="217" bestFit="1" customWidth="1"/>
    <col min="15372" max="15372" width="17.140625" style="217" customWidth="1"/>
    <col min="15373" max="15373" width="16" style="217" bestFit="1" customWidth="1"/>
    <col min="15374" max="15374" width="13.7109375" style="217" customWidth="1"/>
    <col min="15375" max="15375" width="12.28515625" style="217" bestFit="1" customWidth="1"/>
    <col min="15376" max="15376" width="3.28515625" style="217" customWidth="1"/>
    <col min="15377" max="15617" width="9.140625" style="217"/>
    <col min="15618" max="15618" width="9.85546875" style="217" bestFit="1" customWidth="1"/>
    <col min="15619" max="15619" width="80.7109375" style="217" customWidth="1"/>
    <col min="15620" max="15620" width="6.28515625" style="217" bestFit="1" customWidth="1"/>
    <col min="15621" max="15621" width="13.7109375" style="217" customWidth="1"/>
    <col min="15622" max="15622" width="16.7109375" style="217" customWidth="1"/>
    <col min="15623" max="15623" width="19.42578125" style="217" customWidth="1"/>
    <col min="15624" max="15624" width="17" style="217" customWidth="1"/>
    <col min="15625" max="15625" width="13.7109375" style="217" customWidth="1"/>
    <col min="15626" max="15626" width="15.7109375" style="217" bestFit="1" customWidth="1"/>
    <col min="15627" max="15627" width="12.140625" style="217" bestFit="1" customWidth="1"/>
    <col min="15628" max="15628" width="17.140625" style="217" customWidth="1"/>
    <col min="15629" max="15629" width="16" style="217" bestFit="1" customWidth="1"/>
    <col min="15630" max="15630" width="13.7109375" style="217" customWidth="1"/>
    <col min="15631" max="15631" width="12.28515625" style="217" bestFit="1" customWidth="1"/>
    <col min="15632" max="15632" width="3.28515625" style="217" customWidth="1"/>
    <col min="15633" max="15873" width="9.140625" style="217"/>
    <col min="15874" max="15874" width="9.85546875" style="217" bestFit="1" customWidth="1"/>
    <col min="15875" max="15875" width="80.7109375" style="217" customWidth="1"/>
    <col min="15876" max="15876" width="6.28515625" style="217" bestFit="1" customWidth="1"/>
    <col min="15877" max="15877" width="13.7109375" style="217" customWidth="1"/>
    <col min="15878" max="15878" width="16.7109375" style="217" customWidth="1"/>
    <col min="15879" max="15879" width="19.42578125" style="217" customWidth="1"/>
    <col min="15880" max="15880" width="17" style="217" customWidth="1"/>
    <col min="15881" max="15881" width="13.7109375" style="217" customWidth="1"/>
    <col min="15882" max="15882" width="15.7109375" style="217" bestFit="1" customWidth="1"/>
    <col min="15883" max="15883" width="12.140625" style="217" bestFit="1" customWidth="1"/>
    <col min="15884" max="15884" width="17.140625" style="217" customWidth="1"/>
    <col min="15885" max="15885" width="16" style="217" bestFit="1" customWidth="1"/>
    <col min="15886" max="15886" width="13.7109375" style="217" customWidth="1"/>
    <col min="15887" max="15887" width="12.28515625" style="217" bestFit="1" customWidth="1"/>
    <col min="15888" max="15888" width="3.28515625" style="217" customWidth="1"/>
    <col min="15889" max="16129" width="9.140625" style="217"/>
    <col min="16130" max="16130" width="9.85546875" style="217" bestFit="1" customWidth="1"/>
    <col min="16131" max="16131" width="80.7109375" style="217" customWidth="1"/>
    <col min="16132" max="16132" width="6.28515625" style="217" bestFit="1" customWidth="1"/>
    <col min="16133" max="16133" width="13.7109375" style="217" customWidth="1"/>
    <col min="16134" max="16134" width="16.7109375" style="217" customWidth="1"/>
    <col min="16135" max="16135" width="19.42578125" style="217" customWidth="1"/>
    <col min="16136" max="16136" width="17" style="217" customWidth="1"/>
    <col min="16137" max="16137" width="13.7109375" style="217" customWidth="1"/>
    <col min="16138" max="16138" width="15.7109375" style="217" bestFit="1" customWidth="1"/>
    <col min="16139" max="16139" width="12.140625" style="217" bestFit="1" customWidth="1"/>
    <col min="16140" max="16140" width="17.140625" style="217" customWidth="1"/>
    <col min="16141" max="16141" width="16" style="217" bestFit="1" customWidth="1"/>
    <col min="16142" max="16142" width="13.7109375" style="217" customWidth="1"/>
    <col min="16143" max="16143" width="12.28515625" style="217" bestFit="1" customWidth="1"/>
    <col min="16144" max="16144" width="3.28515625" style="217" customWidth="1"/>
    <col min="16145" max="16384" width="9.140625" style="217"/>
  </cols>
  <sheetData>
    <row r="1" spans="2:15" ht="12.75" customHeight="1">
      <c r="B1" s="602" t="s">
        <v>76</v>
      </c>
      <c r="C1" s="602"/>
      <c r="D1" s="602"/>
      <c r="E1" s="602"/>
      <c r="F1" s="602"/>
      <c r="G1" s="602"/>
      <c r="H1" s="602"/>
      <c r="I1" s="602"/>
      <c r="J1" s="602"/>
      <c r="K1" s="602"/>
      <c r="L1" s="602"/>
      <c r="M1" s="602"/>
      <c r="N1" s="602"/>
    </row>
    <row r="2" spans="2:15" ht="13.5" customHeight="1">
      <c r="B2" s="602" t="s">
        <v>167</v>
      </c>
      <c r="C2" s="602"/>
      <c r="D2" s="602"/>
      <c r="E2" s="602"/>
      <c r="F2" s="602"/>
      <c r="G2" s="602"/>
      <c r="H2" s="602"/>
      <c r="I2" s="602"/>
      <c r="J2" s="602"/>
      <c r="K2" s="602"/>
      <c r="L2" s="602"/>
      <c r="M2" s="602"/>
      <c r="N2" s="602"/>
    </row>
    <row r="3" spans="2:15">
      <c r="B3" s="602" t="s">
        <v>164</v>
      </c>
      <c r="C3" s="602"/>
      <c r="D3" s="602"/>
      <c r="E3" s="602"/>
      <c r="F3" s="602"/>
      <c r="G3" s="602"/>
      <c r="H3" s="602"/>
      <c r="I3" s="602"/>
      <c r="J3" s="602"/>
      <c r="K3" s="602"/>
      <c r="L3" s="602"/>
      <c r="M3" s="602"/>
      <c r="N3" s="602"/>
    </row>
    <row r="4" spans="2:15">
      <c r="B4" s="86"/>
      <c r="C4" s="87"/>
      <c r="D4" s="88"/>
      <c r="E4" s="87"/>
      <c r="F4" s="87"/>
      <c r="G4" s="88"/>
      <c r="H4" s="88"/>
      <c r="I4" s="88"/>
      <c r="J4" s="88"/>
    </row>
    <row r="5" spans="2:15" ht="12.75" thickBot="1"/>
    <row r="6" spans="2:15" ht="66" customHeight="1">
      <c r="B6" s="218" t="s">
        <v>169</v>
      </c>
      <c r="C6" s="219"/>
      <c r="D6" s="182"/>
      <c r="E6" s="220" t="s">
        <v>119</v>
      </c>
      <c r="F6" s="220" t="s">
        <v>120</v>
      </c>
      <c r="G6" s="220" t="s">
        <v>121</v>
      </c>
      <c r="H6" s="220" t="s">
        <v>122</v>
      </c>
      <c r="I6" s="91" t="s">
        <v>285</v>
      </c>
      <c r="J6" s="220" t="s">
        <v>123</v>
      </c>
      <c r="K6" s="220" t="s">
        <v>124</v>
      </c>
      <c r="L6" s="220" t="s">
        <v>125</v>
      </c>
      <c r="M6" s="220" t="s">
        <v>50</v>
      </c>
      <c r="N6" s="92" t="s">
        <v>126</v>
      </c>
    </row>
    <row r="7" spans="2:15">
      <c r="B7" s="221" t="s">
        <v>127</v>
      </c>
      <c r="C7" s="222"/>
      <c r="D7" s="185"/>
      <c r="E7" s="269">
        <v>711</v>
      </c>
      <c r="F7" s="269">
        <v>279</v>
      </c>
      <c r="G7" s="269">
        <v>50</v>
      </c>
      <c r="H7" s="269">
        <v>36</v>
      </c>
      <c r="I7" s="269">
        <v>43</v>
      </c>
      <c r="J7" s="269">
        <v>200</v>
      </c>
      <c r="K7" s="269">
        <v>142</v>
      </c>
      <c r="L7" s="269">
        <v>94</v>
      </c>
      <c r="M7" s="269">
        <v>61</v>
      </c>
      <c r="N7" s="270">
        <v>905</v>
      </c>
    </row>
    <row r="8" spans="2:15" ht="24">
      <c r="B8" s="98"/>
      <c r="C8" s="99" t="s">
        <v>54</v>
      </c>
      <c r="D8" s="122" t="s">
        <v>129</v>
      </c>
      <c r="E8" s="271">
        <v>12</v>
      </c>
      <c r="F8" s="271">
        <v>0</v>
      </c>
      <c r="G8" s="271">
        <v>0</v>
      </c>
      <c r="H8" s="271">
        <v>0</v>
      </c>
      <c r="I8" s="271">
        <v>0</v>
      </c>
      <c r="J8" s="271">
        <v>0</v>
      </c>
      <c r="K8" s="271">
        <v>0</v>
      </c>
      <c r="L8" s="271">
        <v>0</v>
      </c>
      <c r="M8" s="271">
        <v>0</v>
      </c>
      <c r="N8" s="272">
        <v>0</v>
      </c>
    </row>
    <row r="9" spans="2:15" ht="24">
      <c r="B9" s="98"/>
      <c r="C9" s="99" t="s">
        <v>157</v>
      </c>
      <c r="D9" s="122" t="s">
        <v>130</v>
      </c>
      <c r="E9" s="271">
        <v>0</v>
      </c>
      <c r="F9" s="271">
        <v>0</v>
      </c>
      <c r="G9" s="271">
        <v>0</v>
      </c>
      <c r="H9" s="271">
        <v>0</v>
      </c>
      <c r="I9" s="271">
        <v>0</v>
      </c>
      <c r="J9" s="271">
        <v>-7</v>
      </c>
      <c r="K9" s="271">
        <v>-4</v>
      </c>
      <c r="L9" s="271">
        <v>-15</v>
      </c>
      <c r="M9" s="271">
        <v>0</v>
      </c>
      <c r="N9" s="272">
        <v>-26</v>
      </c>
      <c r="O9" s="323"/>
    </row>
    <row r="10" spans="2:15">
      <c r="B10" s="98"/>
      <c r="C10" s="99" t="s">
        <v>149</v>
      </c>
      <c r="D10" s="122" t="s">
        <v>150</v>
      </c>
      <c r="E10" s="271">
        <v>-6</v>
      </c>
      <c r="F10" s="271">
        <v>-1</v>
      </c>
      <c r="G10" s="271">
        <v>-1</v>
      </c>
      <c r="H10" s="271">
        <v>0</v>
      </c>
      <c r="I10" s="271">
        <v>0</v>
      </c>
      <c r="J10" s="271">
        <v>-91</v>
      </c>
      <c r="K10" s="271">
        <v>-12</v>
      </c>
      <c r="L10" s="271">
        <v>-11</v>
      </c>
      <c r="M10" s="271">
        <v>0</v>
      </c>
      <c r="N10" s="272">
        <v>-116</v>
      </c>
      <c r="O10" s="323"/>
    </row>
    <row r="11" spans="2:15" ht="24">
      <c r="B11" s="98"/>
      <c r="C11" s="99" t="s">
        <v>168</v>
      </c>
      <c r="D11" s="228" t="s">
        <v>139</v>
      </c>
      <c r="E11" s="271">
        <v>0</v>
      </c>
      <c r="F11" s="271">
        <v>0</v>
      </c>
      <c r="G11" s="271">
        <v>0</v>
      </c>
      <c r="H11" s="271">
        <v>0</v>
      </c>
      <c r="I11" s="271">
        <v>0</v>
      </c>
      <c r="J11" s="271">
        <v>0</v>
      </c>
      <c r="K11" s="271">
        <v>0</v>
      </c>
      <c r="L11" s="271">
        <v>-17</v>
      </c>
      <c r="M11" s="271">
        <v>-61</v>
      </c>
      <c r="N11" s="272">
        <v>-78</v>
      </c>
      <c r="O11" s="323"/>
    </row>
    <row r="12" spans="2:15" ht="24">
      <c r="B12" s="98"/>
      <c r="C12" s="229" t="s">
        <v>151</v>
      </c>
      <c r="D12" s="228" t="s">
        <v>132</v>
      </c>
      <c r="E12" s="271">
        <v>0</v>
      </c>
      <c r="F12" s="271">
        <v>-8</v>
      </c>
      <c r="G12" s="271">
        <v>-24</v>
      </c>
      <c r="H12" s="271">
        <v>-22</v>
      </c>
      <c r="I12" s="271">
        <v>0</v>
      </c>
      <c r="J12" s="271">
        <v>0</v>
      </c>
      <c r="K12" s="271">
        <v>-35</v>
      </c>
      <c r="L12" s="271">
        <v>-1</v>
      </c>
      <c r="M12" s="271">
        <v>0</v>
      </c>
      <c r="N12" s="272">
        <v>-90</v>
      </c>
    </row>
    <row r="13" spans="2:15" ht="12.75" thickBot="1">
      <c r="B13" s="230" t="s">
        <v>133</v>
      </c>
      <c r="C13" s="231"/>
      <c r="D13" s="232"/>
      <c r="E13" s="273">
        <v>717</v>
      </c>
      <c r="F13" s="273">
        <v>270</v>
      </c>
      <c r="G13" s="273">
        <v>25</v>
      </c>
      <c r="H13" s="273">
        <v>14</v>
      </c>
      <c r="I13" s="273">
        <v>43</v>
      </c>
      <c r="J13" s="273">
        <v>102</v>
      </c>
      <c r="K13" s="273">
        <v>91</v>
      </c>
      <c r="L13" s="273">
        <v>50</v>
      </c>
      <c r="M13" s="273">
        <v>0</v>
      </c>
      <c r="N13" s="274">
        <v>595</v>
      </c>
    </row>
    <row r="14" spans="2:15" ht="4.5" customHeight="1" thickTop="1" thickBot="1">
      <c r="B14" s="235"/>
      <c r="C14" s="236"/>
      <c r="D14" s="237"/>
      <c r="E14" s="236"/>
      <c r="F14" s="236"/>
      <c r="G14" s="236"/>
      <c r="H14" s="236"/>
      <c r="I14" s="236"/>
      <c r="J14" s="236"/>
      <c r="K14" s="236"/>
      <c r="L14" s="236"/>
      <c r="M14" s="236"/>
      <c r="N14" s="238"/>
    </row>
    <row r="15" spans="2:15" ht="12.75" thickBot="1">
      <c r="B15" s="239"/>
      <c r="C15" s="240"/>
      <c r="D15" s="241"/>
      <c r="E15" s="240"/>
      <c r="F15" s="240"/>
      <c r="G15" s="240"/>
      <c r="H15" s="240"/>
      <c r="I15" s="240"/>
      <c r="J15" s="240"/>
      <c r="K15" s="240"/>
      <c r="L15" s="240"/>
      <c r="M15" s="240"/>
      <c r="N15" s="240"/>
    </row>
    <row r="16" spans="2:15" ht="57.75" customHeight="1">
      <c r="B16" s="242" t="s">
        <v>169</v>
      </c>
      <c r="C16" s="243"/>
      <c r="D16" s="116"/>
      <c r="E16" s="244" t="s">
        <v>134</v>
      </c>
      <c r="F16" s="244" t="s">
        <v>135</v>
      </c>
      <c r="G16" s="244" t="s">
        <v>136</v>
      </c>
      <c r="H16" s="118" t="s">
        <v>137</v>
      </c>
      <c r="I16" s="119"/>
      <c r="J16" s="245"/>
      <c r="K16" s="275"/>
      <c r="L16" s="239"/>
      <c r="M16" s="239"/>
      <c r="N16" s="239"/>
    </row>
    <row r="17" spans="2:15">
      <c r="B17" s="98" t="s">
        <v>127</v>
      </c>
      <c r="C17" s="225"/>
      <c r="D17" s="122"/>
      <c r="E17" s="276">
        <v>-194</v>
      </c>
      <c r="F17" s="269">
        <v>-108</v>
      </c>
      <c r="G17" s="277">
        <v>-8.4972462627852088E-2</v>
      </c>
      <c r="H17" s="278">
        <v>-8.4972462627852088E-2</v>
      </c>
      <c r="I17" s="279"/>
      <c r="J17" s="240"/>
      <c r="K17" s="240"/>
      <c r="L17" s="240"/>
      <c r="M17" s="240"/>
      <c r="N17" s="251"/>
    </row>
    <row r="18" spans="2:15" ht="24">
      <c r="B18" s="98"/>
      <c r="C18" s="99" t="s">
        <v>54</v>
      </c>
      <c r="D18" s="122" t="s">
        <v>129</v>
      </c>
      <c r="E18" s="280">
        <v>12</v>
      </c>
      <c r="F18" s="271">
        <v>7</v>
      </c>
      <c r="G18" s="281">
        <v>5.4678736564691896E-3</v>
      </c>
      <c r="H18" s="282">
        <v>5.4678736564691896E-3</v>
      </c>
      <c r="I18" s="279"/>
      <c r="J18" s="240"/>
      <c r="K18" s="240"/>
      <c r="L18" s="240"/>
      <c r="M18" s="240"/>
      <c r="N18" s="283"/>
    </row>
    <row r="19" spans="2:15" ht="24">
      <c r="B19" s="98"/>
      <c r="C19" s="99" t="s">
        <v>157</v>
      </c>
      <c r="D19" s="122" t="s">
        <v>130</v>
      </c>
      <c r="E19" s="280">
        <v>26</v>
      </c>
      <c r="F19" s="271">
        <v>16</v>
      </c>
      <c r="G19" s="281">
        <v>1.2497996929072434E-2</v>
      </c>
      <c r="H19" s="282">
        <v>1.2497996929072434E-2</v>
      </c>
      <c r="I19" s="284"/>
      <c r="J19" s="240"/>
      <c r="K19" s="240"/>
      <c r="L19" s="240"/>
      <c r="M19" s="240"/>
      <c r="N19" s="283"/>
      <c r="O19" s="323"/>
    </row>
    <row r="20" spans="2:15">
      <c r="B20" s="98"/>
      <c r="C20" s="99" t="s">
        <v>149</v>
      </c>
      <c r="D20" s="122" t="s">
        <v>150</v>
      </c>
      <c r="E20" s="280">
        <v>110</v>
      </c>
      <c r="F20" s="271">
        <v>67</v>
      </c>
      <c r="G20" s="281">
        <v>5.2335362140490817E-2</v>
      </c>
      <c r="H20" s="282">
        <v>5.2335362140490817E-2</v>
      </c>
      <c r="I20" s="285"/>
      <c r="J20" s="240"/>
      <c r="K20" s="240"/>
      <c r="L20" s="240"/>
      <c r="M20" s="240"/>
      <c r="N20" s="283"/>
      <c r="O20" s="323"/>
    </row>
    <row r="21" spans="2:15" ht="24">
      <c r="B21" s="98"/>
      <c r="C21" s="99" t="s">
        <v>168</v>
      </c>
      <c r="D21" s="228" t="s">
        <v>139</v>
      </c>
      <c r="E21" s="280">
        <v>78</v>
      </c>
      <c r="F21" s="271">
        <v>56</v>
      </c>
      <c r="G21" s="281">
        <v>4.3742989251753517E-2</v>
      </c>
      <c r="H21" s="282">
        <v>4.3742989251753517E-2</v>
      </c>
      <c r="I21" s="285"/>
      <c r="J21" s="240"/>
      <c r="K21" s="240"/>
      <c r="L21" s="240"/>
      <c r="M21" s="240"/>
      <c r="N21" s="283"/>
      <c r="O21" s="323"/>
    </row>
    <row r="22" spans="2:15" ht="24">
      <c r="B22" s="98"/>
      <c r="C22" s="229" t="s">
        <v>151</v>
      </c>
      <c r="D22" s="228" t="s">
        <v>132</v>
      </c>
      <c r="E22" s="280">
        <v>90</v>
      </c>
      <c r="F22" s="280">
        <v>54</v>
      </c>
      <c r="G22" s="281">
        <v>4.2180739635619462E-2</v>
      </c>
      <c r="H22" s="282">
        <v>4.2180739635619462E-2</v>
      </c>
      <c r="I22" s="285"/>
      <c r="J22" s="240"/>
      <c r="K22" s="240"/>
      <c r="L22" s="240"/>
      <c r="M22" s="240"/>
      <c r="N22" s="283"/>
      <c r="O22" s="323"/>
    </row>
    <row r="23" spans="2:15" ht="12.75" thickBot="1">
      <c r="B23" s="258" t="s">
        <v>133</v>
      </c>
      <c r="C23" s="239"/>
      <c r="D23" s="259"/>
      <c r="E23" s="273">
        <v>122</v>
      </c>
      <c r="F23" s="273">
        <v>92</v>
      </c>
      <c r="G23" s="286">
        <v>7.1863482342166496E-2</v>
      </c>
      <c r="H23" s="287">
        <v>7.1863482342166496E-2</v>
      </c>
      <c r="J23" s="240"/>
      <c r="K23" s="240"/>
      <c r="L23" s="240"/>
      <c r="M23" s="240"/>
      <c r="N23" s="283"/>
    </row>
    <row r="24" spans="2:15" ht="5.25" customHeight="1" thickTop="1" thickBot="1">
      <c r="B24" s="262"/>
      <c r="C24" s="263"/>
      <c r="D24" s="264"/>
      <c r="E24" s="265"/>
      <c r="F24" s="265"/>
      <c r="G24" s="266"/>
      <c r="H24" s="267"/>
      <c r="I24" s="239"/>
      <c r="J24" s="240"/>
      <c r="K24" s="240"/>
      <c r="L24" s="240"/>
      <c r="M24" s="240"/>
      <c r="N24" s="240"/>
    </row>
    <row r="26" spans="2:15" ht="12.75" thickBot="1"/>
    <row r="27" spans="2:15" ht="63.75" customHeight="1">
      <c r="B27" s="218" t="s">
        <v>165</v>
      </c>
      <c r="C27" s="219"/>
      <c r="D27" s="182"/>
      <c r="E27" s="220" t="s">
        <v>119</v>
      </c>
      <c r="F27" s="220" t="s">
        <v>120</v>
      </c>
      <c r="G27" s="220" t="s">
        <v>121</v>
      </c>
      <c r="H27" s="220" t="s">
        <v>122</v>
      </c>
      <c r="I27" s="91" t="s">
        <v>285</v>
      </c>
      <c r="J27" s="220" t="s">
        <v>123</v>
      </c>
      <c r="K27" s="220" t="s">
        <v>124</v>
      </c>
      <c r="L27" s="220" t="s">
        <v>125</v>
      </c>
      <c r="M27" s="220" t="s">
        <v>50</v>
      </c>
      <c r="N27" s="92" t="s">
        <v>126</v>
      </c>
    </row>
    <row r="28" spans="2:15">
      <c r="B28" s="221" t="s">
        <v>127</v>
      </c>
      <c r="C28" s="222"/>
      <c r="D28" s="185"/>
      <c r="E28" s="269">
        <v>1639</v>
      </c>
      <c r="F28" s="269">
        <v>805</v>
      </c>
      <c r="G28" s="269">
        <v>179</v>
      </c>
      <c r="H28" s="269">
        <v>174</v>
      </c>
      <c r="I28" s="269">
        <v>53</v>
      </c>
      <c r="J28" s="269">
        <v>196</v>
      </c>
      <c r="K28" s="269">
        <v>244</v>
      </c>
      <c r="L28" s="269">
        <v>104</v>
      </c>
      <c r="M28" s="269">
        <v>32</v>
      </c>
      <c r="N28" s="270">
        <v>1787</v>
      </c>
    </row>
    <row r="29" spans="2:15" ht="24">
      <c r="B29" s="98"/>
      <c r="C29" s="99" t="s">
        <v>54</v>
      </c>
      <c r="D29" s="122" t="s">
        <v>129</v>
      </c>
      <c r="E29" s="271">
        <v>705</v>
      </c>
      <c r="F29" s="271">
        <v>135</v>
      </c>
      <c r="G29" s="271">
        <v>61</v>
      </c>
      <c r="H29" s="271">
        <v>19</v>
      </c>
      <c r="I29" s="271">
        <v>0</v>
      </c>
      <c r="J29" s="271">
        <v>0</v>
      </c>
      <c r="K29" s="271">
        <v>0</v>
      </c>
      <c r="L29" s="271">
        <v>0</v>
      </c>
      <c r="M29" s="271">
        <v>0</v>
      </c>
      <c r="N29" s="272">
        <v>215</v>
      </c>
    </row>
    <row r="30" spans="2:15" ht="24">
      <c r="B30" s="98"/>
      <c r="C30" s="99" t="s">
        <v>157</v>
      </c>
      <c r="D30" s="122" t="s">
        <v>130</v>
      </c>
      <c r="E30" s="271">
        <v>0</v>
      </c>
      <c r="F30" s="271">
        <v>0</v>
      </c>
      <c r="G30" s="271">
        <v>-4</v>
      </c>
      <c r="H30" s="271">
        <v>0</v>
      </c>
      <c r="I30" s="271">
        <v>0</v>
      </c>
      <c r="J30" s="271">
        <v>-10</v>
      </c>
      <c r="K30" s="271">
        <v>-4</v>
      </c>
      <c r="L30" s="271">
        <v>-25</v>
      </c>
      <c r="M30" s="271">
        <v>0</v>
      </c>
      <c r="N30" s="272">
        <v>-43</v>
      </c>
    </row>
    <row r="31" spans="2:15">
      <c r="B31" s="98"/>
      <c r="C31" s="99" t="s">
        <v>149</v>
      </c>
      <c r="D31" s="122" t="s">
        <v>150</v>
      </c>
      <c r="E31" s="271">
        <v>-1</v>
      </c>
      <c r="F31" s="271">
        <v>0</v>
      </c>
      <c r="G31" s="271">
        <v>0</v>
      </c>
      <c r="H31" s="271">
        <v>0</v>
      </c>
      <c r="I31" s="271">
        <v>0</v>
      </c>
      <c r="J31" s="271">
        <v>-10</v>
      </c>
      <c r="K31" s="271">
        <v>-3</v>
      </c>
      <c r="L31" s="271">
        <v>-3</v>
      </c>
      <c r="M31" s="271">
        <v>0</v>
      </c>
      <c r="N31" s="272">
        <v>-16</v>
      </c>
    </row>
    <row r="32" spans="2:15" ht="24">
      <c r="B32" s="98"/>
      <c r="C32" s="99" t="s">
        <v>59</v>
      </c>
      <c r="D32" s="228" t="s">
        <v>139</v>
      </c>
      <c r="E32" s="271">
        <v>0</v>
      </c>
      <c r="F32" s="271">
        <v>0</v>
      </c>
      <c r="G32" s="271">
        <v>0</v>
      </c>
      <c r="H32" s="271">
        <v>0</v>
      </c>
      <c r="I32" s="271">
        <v>0</v>
      </c>
      <c r="J32" s="271">
        <v>0</v>
      </c>
      <c r="K32" s="271">
        <v>0</v>
      </c>
      <c r="L32" s="271">
        <v>-11</v>
      </c>
      <c r="M32" s="271">
        <v>-32</v>
      </c>
      <c r="N32" s="272">
        <v>-43</v>
      </c>
    </row>
    <row r="33" spans="2:14" ht="24">
      <c r="B33" s="98"/>
      <c r="C33" s="229" t="s">
        <v>151</v>
      </c>
      <c r="D33" s="228" t="s">
        <v>132</v>
      </c>
      <c r="E33" s="271">
        <v>0</v>
      </c>
      <c r="F33" s="271">
        <v>-7</v>
      </c>
      <c r="G33" s="271">
        <v>-71</v>
      </c>
      <c r="H33" s="271">
        <v>-118</v>
      </c>
      <c r="I33" s="271">
        <v>0</v>
      </c>
      <c r="J33" s="271">
        <v>0</v>
      </c>
      <c r="K33" s="271">
        <v>-4</v>
      </c>
      <c r="L33" s="271">
        <v>-1</v>
      </c>
      <c r="M33" s="271">
        <v>0</v>
      </c>
      <c r="N33" s="272">
        <v>-201</v>
      </c>
    </row>
    <row r="34" spans="2:14" ht="12.75" thickBot="1">
      <c r="B34" s="230" t="s">
        <v>133</v>
      </c>
      <c r="C34" s="231"/>
      <c r="D34" s="232"/>
      <c r="E34" s="273">
        <v>2343</v>
      </c>
      <c r="F34" s="273">
        <v>933</v>
      </c>
      <c r="G34" s="273">
        <v>165</v>
      </c>
      <c r="H34" s="273">
        <v>75</v>
      </c>
      <c r="I34" s="273">
        <v>53</v>
      </c>
      <c r="J34" s="273">
        <v>176</v>
      </c>
      <c r="K34" s="273">
        <v>233</v>
      </c>
      <c r="L34" s="273">
        <v>64</v>
      </c>
      <c r="M34" s="273">
        <v>0</v>
      </c>
      <c r="N34" s="274">
        <v>1699</v>
      </c>
    </row>
    <row r="35" spans="2:14" ht="4.5" customHeight="1" thickTop="1" thickBot="1">
      <c r="B35" s="235"/>
      <c r="C35" s="236"/>
      <c r="D35" s="237"/>
      <c r="E35" s="236"/>
      <c r="F35" s="236"/>
      <c r="G35" s="236"/>
      <c r="H35" s="236"/>
      <c r="I35" s="236"/>
      <c r="J35" s="236"/>
      <c r="K35" s="236"/>
      <c r="L35" s="236"/>
      <c r="M35" s="236"/>
      <c r="N35" s="238"/>
    </row>
    <row r="36" spans="2:14" ht="12.75" thickBot="1">
      <c r="B36" s="239"/>
      <c r="C36" s="240"/>
      <c r="D36" s="241"/>
      <c r="E36" s="240"/>
      <c r="F36" s="240"/>
      <c r="G36" s="240"/>
      <c r="H36" s="240"/>
      <c r="I36" s="240"/>
      <c r="J36" s="240"/>
      <c r="K36" s="240"/>
      <c r="L36" s="240"/>
      <c r="M36" s="240"/>
      <c r="N36" s="240"/>
    </row>
    <row r="37" spans="2:14" ht="48">
      <c r="B37" s="242" t="s">
        <v>165</v>
      </c>
      <c r="C37" s="243"/>
      <c r="D37" s="116"/>
      <c r="E37" s="244" t="s">
        <v>134</v>
      </c>
      <c r="F37" s="244" t="s">
        <v>135</v>
      </c>
      <c r="G37" s="244" t="s">
        <v>136</v>
      </c>
      <c r="H37" s="118" t="s">
        <v>137</v>
      </c>
      <c r="I37" s="119"/>
      <c r="J37" s="245"/>
      <c r="K37" s="275"/>
      <c r="L37" s="239"/>
      <c r="M37" s="239"/>
      <c r="N37" s="239"/>
    </row>
    <row r="38" spans="2:14">
      <c r="B38" s="98" t="s">
        <v>127</v>
      </c>
      <c r="C38" s="225"/>
      <c r="D38" s="122"/>
      <c r="E38" s="276">
        <v>-148</v>
      </c>
      <c r="F38" s="269">
        <v>-72</v>
      </c>
      <c r="G38" s="277">
        <v>-5.4298642533936653E-2</v>
      </c>
      <c r="H38" s="278">
        <v>-5.4298642533936653E-2</v>
      </c>
      <c r="I38" s="279"/>
      <c r="J38" s="240"/>
      <c r="K38" s="240"/>
      <c r="L38" s="240"/>
      <c r="M38" s="240"/>
      <c r="N38" s="251"/>
    </row>
    <row r="39" spans="2:14" ht="24">
      <c r="B39" s="98"/>
      <c r="C39" s="99" t="s">
        <v>54</v>
      </c>
      <c r="D39" s="122" t="s">
        <v>129</v>
      </c>
      <c r="E39" s="280">
        <v>490</v>
      </c>
      <c r="F39" s="271">
        <v>313</v>
      </c>
      <c r="G39" s="281">
        <v>0.23611431692663709</v>
      </c>
      <c r="H39" s="282">
        <v>0.22611431692663708</v>
      </c>
      <c r="I39" s="279"/>
      <c r="J39" s="240"/>
      <c r="K39" s="240"/>
      <c r="L39" s="240"/>
      <c r="M39" s="240"/>
      <c r="N39" s="283"/>
    </row>
    <row r="40" spans="2:14" ht="24">
      <c r="B40" s="98"/>
      <c r="C40" s="99" t="s">
        <v>157</v>
      </c>
      <c r="D40" s="122" t="s">
        <v>130</v>
      </c>
      <c r="E40" s="280">
        <v>43</v>
      </c>
      <c r="F40" s="271">
        <v>26</v>
      </c>
      <c r="G40" s="281">
        <v>1.9613329840551322E-2</v>
      </c>
      <c r="H40" s="282">
        <v>1.9613329840551322E-2</v>
      </c>
      <c r="I40" s="284"/>
      <c r="J40" s="240"/>
      <c r="K40" s="240"/>
      <c r="L40" s="240"/>
      <c r="M40" s="240"/>
      <c r="N40" s="283"/>
    </row>
    <row r="41" spans="2:14">
      <c r="B41" s="98"/>
      <c r="C41" s="99" t="s">
        <v>149</v>
      </c>
      <c r="D41" s="122" t="s">
        <v>150</v>
      </c>
      <c r="E41" s="280">
        <v>15</v>
      </c>
      <c r="F41" s="271">
        <v>11</v>
      </c>
      <c r="G41" s="281">
        <v>8.2979472402332517E-3</v>
      </c>
      <c r="H41" s="282">
        <v>8.2979472402332517E-3</v>
      </c>
      <c r="I41" s="285"/>
      <c r="J41" s="240"/>
      <c r="K41" s="240"/>
      <c r="L41" s="240"/>
      <c r="M41" s="240"/>
      <c r="N41" s="283"/>
    </row>
    <row r="42" spans="2:14" ht="24">
      <c r="B42" s="98"/>
      <c r="C42" s="99" t="s">
        <v>59</v>
      </c>
      <c r="D42" s="228" t="s">
        <v>139</v>
      </c>
      <c r="E42" s="280">
        <v>43</v>
      </c>
      <c r="F42" s="271">
        <v>30</v>
      </c>
      <c r="G42" s="281">
        <v>2.2630765200636144E-2</v>
      </c>
      <c r="H42" s="282">
        <v>2.2630765200636144E-2</v>
      </c>
      <c r="I42" s="285"/>
      <c r="J42" s="240"/>
      <c r="K42" s="240"/>
      <c r="L42" s="240"/>
      <c r="M42" s="240"/>
      <c r="N42" s="283"/>
    </row>
    <row r="43" spans="2:14" ht="24">
      <c r="B43" s="98"/>
      <c r="C43" s="229" t="s">
        <v>151</v>
      </c>
      <c r="D43" s="228" t="s">
        <v>132</v>
      </c>
      <c r="E43" s="280">
        <v>201</v>
      </c>
      <c r="F43" s="280">
        <v>121</v>
      </c>
      <c r="G43" s="281">
        <v>9.1277419642565777E-2</v>
      </c>
      <c r="H43" s="282">
        <v>9.1277419642565777E-2</v>
      </c>
      <c r="I43" s="285"/>
      <c r="J43" s="240"/>
      <c r="K43" s="240"/>
      <c r="L43" s="240"/>
      <c r="M43" s="240"/>
      <c r="N43" s="283"/>
    </row>
    <row r="44" spans="2:14" ht="12.75" thickBot="1">
      <c r="B44" s="258" t="s">
        <v>133</v>
      </c>
      <c r="C44" s="239"/>
      <c r="D44" s="259"/>
      <c r="E44" s="273">
        <v>644</v>
      </c>
      <c r="F44" s="273">
        <v>429</v>
      </c>
      <c r="G44" s="286">
        <v>0.32361994236909686</v>
      </c>
      <c r="H44" s="287">
        <v>0.31361994236909685</v>
      </c>
      <c r="J44" s="240"/>
      <c r="K44" s="240"/>
      <c r="L44" s="240"/>
      <c r="M44" s="240"/>
      <c r="N44" s="283"/>
    </row>
    <row r="45" spans="2:14" ht="4.5" customHeight="1" thickTop="1" thickBot="1">
      <c r="B45" s="262"/>
      <c r="C45" s="263"/>
      <c r="D45" s="264"/>
      <c r="E45" s="265"/>
      <c r="F45" s="265"/>
      <c r="G45" s="266"/>
      <c r="H45" s="267"/>
      <c r="I45" s="239"/>
      <c r="J45" s="240"/>
      <c r="K45" s="240"/>
      <c r="L45" s="240"/>
      <c r="M45" s="240"/>
      <c r="N45" s="240"/>
    </row>
    <row r="46" spans="2:14">
      <c r="B46" s="240"/>
      <c r="C46" s="240"/>
      <c r="D46" s="241"/>
      <c r="E46" s="240"/>
      <c r="F46" s="240"/>
      <c r="G46" s="240"/>
      <c r="H46" s="240"/>
      <c r="I46" s="240"/>
      <c r="J46" s="240"/>
      <c r="K46" s="240"/>
      <c r="L46" s="240"/>
      <c r="M46" s="240"/>
      <c r="N46" s="240"/>
    </row>
    <row r="47" spans="2:14">
      <c r="B47" s="240"/>
      <c r="C47" s="240"/>
      <c r="D47" s="241"/>
      <c r="E47" s="240"/>
      <c r="F47" s="240"/>
      <c r="G47" s="240"/>
      <c r="H47" s="240"/>
      <c r="I47" s="240"/>
      <c r="J47" s="240"/>
      <c r="K47" s="240"/>
      <c r="L47" s="240"/>
      <c r="M47" s="240"/>
      <c r="N47" s="240"/>
    </row>
    <row r="48" spans="2:14">
      <c r="C48" s="320" t="s">
        <v>144</v>
      </c>
    </row>
    <row r="49" spans="2:14">
      <c r="B49" s="240"/>
      <c r="C49" s="613" t="s">
        <v>152</v>
      </c>
      <c r="D49" s="613"/>
      <c r="E49" s="613"/>
      <c r="F49" s="613"/>
      <c r="G49" s="613"/>
      <c r="H49" s="613"/>
      <c r="I49" s="613"/>
      <c r="J49" s="613"/>
      <c r="K49" s="613"/>
      <c r="L49" s="613"/>
      <c r="M49" s="613"/>
      <c r="N49" s="613"/>
    </row>
    <row r="50" spans="2:14" s="325" customFormat="1" ht="12.75" customHeight="1">
      <c r="B50" s="324"/>
      <c r="C50" s="613" t="s">
        <v>170</v>
      </c>
      <c r="D50" s="613"/>
      <c r="E50" s="613"/>
      <c r="F50" s="613"/>
      <c r="G50" s="613"/>
      <c r="H50" s="613"/>
      <c r="I50" s="613"/>
      <c r="J50" s="613"/>
      <c r="K50" s="613"/>
      <c r="L50" s="613"/>
      <c r="M50" s="613"/>
      <c r="N50" s="613"/>
    </row>
    <row r="51" spans="2:14" s="325" customFormat="1">
      <c r="B51" s="210"/>
      <c r="C51" s="613" t="s">
        <v>154</v>
      </c>
      <c r="D51" s="613"/>
      <c r="E51" s="613"/>
      <c r="F51" s="613"/>
      <c r="G51" s="613"/>
      <c r="H51" s="613"/>
      <c r="I51" s="613"/>
      <c r="J51" s="613"/>
      <c r="K51" s="613"/>
      <c r="L51" s="613"/>
      <c r="M51" s="613"/>
      <c r="N51" s="613"/>
    </row>
    <row r="52" spans="2:14" s="325" customFormat="1" ht="12.75" customHeight="1">
      <c r="B52" s="324"/>
      <c r="C52" s="613" t="s">
        <v>155</v>
      </c>
      <c r="D52" s="613"/>
      <c r="E52" s="613"/>
      <c r="F52" s="613"/>
      <c r="G52" s="613"/>
      <c r="H52" s="613"/>
      <c r="I52" s="613"/>
      <c r="J52" s="613"/>
      <c r="K52" s="613"/>
      <c r="L52" s="613"/>
      <c r="M52" s="613"/>
      <c r="N52" s="613"/>
    </row>
    <row r="53" spans="2:14" s="325" customFormat="1" ht="12.75" customHeight="1">
      <c r="B53" s="324"/>
      <c r="C53" s="320"/>
      <c r="D53" s="322"/>
      <c r="E53" s="322"/>
      <c r="F53" s="322"/>
      <c r="G53" s="322"/>
      <c r="H53" s="322"/>
      <c r="I53" s="322"/>
      <c r="J53" s="322"/>
      <c r="K53" s="322"/>
      <c r="L53" s="322"/>
      <c r="M53" s="322"/>
      <c r="N53" s="321"/>
    </row>
    <row r="54" spans="2:14" s="325" customFormat="1" ht="24" customHeight="1">
      <c r="B54" s="324"/>
      <c r="C54" s="613" t="s">
        <v>166</v>
      </c>
      <c r="D54" s="613"/>
      <c r="E54" s="613"/>
      <c r="F54" s="613"/>
      <c r="G54" s="613"/>
      <c r="H54" s="613"/>
      <c r="I54" s="613"/>
      <c r="J54" s="613"/>
      <c r="K54" s="613"/>
      <c r="L54" s="613"/>
      <c r="M54" s="613"/>
      <c r="N54" s="613"/>
    </row>
    <row r="55" spans="2:14" s="325" customFormat="1" ht="12.75" customHeight="1">
      <c r="B55" s="326"/>
      <c r="C55" s="321"/>
      <c r="D55" s="327"/>
      <c r="E55" s="327"/>
      <c r="F55" s="327"/>
      <c r="G55" s="327"/>
      <c r="H55" s="327"/>
      <c r="I55" s="327"/>
      <c r="J55" s="327"/>
      <c r="K55" s="327"/>
      <c r="L55" s="327"/>
      <c r="M55" s="327"/>
      <c r="N55" s="321"/>
    </row>
  </sheetData>
  <mergeCells count="8">
    <mergeCell ref="C50:N50"/>
    <mergeCell ref="C52:N52"/>
    <mergeCell ref="C54:N54"/>
    <mergeCell ref="B1:N1"/>
    <mergeCell ref="B2:N2"/>
    <mergeCell ref="B3:N3"/>
    <mergeCell ref="C51:N51"/>
    <mergeCell ref="C49:N49"/>
  </mergeCells>
  <pageMargins left="0.7" right="0.7" top="0.25" bottom="0.44" header="0.3" footer="0.3"/>
  <pageSetup scale="51" orientation="portrait" r:id="rId1"/>
  <headerFooter>
    <oddFooter>&amp;LActivision Blizzard, Inc.&amp;R&amp;P of &amp; 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2"/>
  <sheetViews>
    <sheetView showGridLines="0" view="pageBreakPreview" zoomScale="60" zoomScaleNormal="100" zoomScalePageLayoutView="68" workbookViewId="0">
      <pane xSplit="4" ySplit="7" topLeftCell="G8" activePane="bottomRight" state="frozen"/>
      <selection activeCell="J17" sqref="J17"/>
      <selection pane="topRight" activeCell="J17" sqref="J17"/>
      <selection pane="bottomLeft" activeCell="J17" sqref="J17"/>
      <selection pane="bottomRight" activeCell="J17" sqref="J17"/>
    </sheetView>
  </sheetViews>
  <sheetFormatPr defaultColWidth="8.85546875" defaultRowHeight="15" outlineLevelRow="1" outlineLevelCol="1"/>
  <cols>
    <col min="1" max="3" width="2.7109375" style="5" customWidth="1"/>
    <col min="4" max="4" width="59.140625" style="5" customWidth="1"/>
    <col min="5" max="6" width="10.5703125" style="27" hidden="1" customWidth="1" outlineLevel="1"/>
    <col min="7" max="7" width="10.5703125" style="27" customWidth="1" collapsed="1"/>
    <col min="8" max="15" width="10.5703125" style="413" customWidth="1"/>
    <col min="16" max="16" width="10" style="414" customWidth="1"/>
    <col min="17" max="19" width="10" style="27" customWidth="1"/>
    <col min="20" max="20" width="2.140625" style="27" customWidth="1"/>
    <col min="21" max="16384" width="8.85546875" style="27"/>
  </cols>
  <sheetData>
    <row r="1" spans="1:24" s="31" customFormat="1" ht="15" customHeight="1" collapsed="1">
      <c r="A1" s="588" t="s">
        <v>42</v>
      </c>
      <c r="B1" s="588"/>
      <c r="C1" s="588"/>
      <c r="D1" s="588"/>
      <c r="E1" s="588"/>
      <c r="F1" s="588"/>
      <c r="G1" s="588"/>
      <c r="H1" s="588"/>
      <c r="I1" s="588"/>
      <c r="J1" s="588"/>
      <c r="K1" s="588"/>
      <c r="L1" s="588"/>
      <c r="M1" s="588"/>
      <c r="N1" s="588"/>
      <c r="O1" s="588"/>
      <c r="P1" s="588"/>
      <c r="Q1" s="588"/>
      <c r="R1" s="588"/>
      <c r="S1" s="588"/>
      <c r="T1" s="588"/>
    </row>
    <row r="2" spans="1:24" s="31" customFormat="1" ht="15" customHeight="1">
      <c r="A2" s="588" t="s">
        <v>28</v>
      </c>
      <c r="B2" s="588"/>
      <c r="C2" s="588"/>
      <c r="D2" s="588"/>
      <c r="E2" s="588"/>
      <c r="F2" s="588"/>
      <c r="G2" s="588"/>
      <c r="H2" s="588"/>
      <c r="I2" s="588"/>
      <c r="J2" s="588"/>
      <c r="K2" s="588"/>
      <c r="L2" s="588"/>
      <c r="M2" s="588"/>
      <c r="N2" s="588"/>
      <c r="O2" s="588"/>
      <c r="P2" s="588"/>
      <c r="Q2" s="588"/>
      <c r="R2" s="588"/>
      <c r="S2" s="588"/>
      <c r="T2" s="588"/>
    </row>
    <row r="3" spans="1:24" s="31" customFormat="1" ht="15" customHeight="1">
      <c r="A3" s="588" t="s">
        <v>24</v>
      </c>
      <c r="B3" s="588"/>
      <c r="C3" s="588"/>
      <c r="D3" s="588"/>
      <c r="E3" s="588"/>
      <c r="F3" s="588"/>
      <c r="G3" s="588"/>
      <c r="H3" s="588"/>
      <c r="I3" s="588"/>
      <c r="J3" s="588"/>
      <c r="K3" s="588"/>
      <c r="L3" s="588"/>
      <c r="M3" s="588"/>
      <c r="N3" s="588"/>
      <c r="O3" s="588"/>
      <c r="P3" s="588"/>
      <c r="Q3" s="588"/>
      <c r="R3" s="588"/>
      <c r="S3" s="588"/>
      <c r="T3" s="588"/>
      <c r="X3" s="30"/>
    </row>
    <row r="5" spans="1:24">
      <c r="A5" s="20" t="s">
        <v>174</v>
      </c>
    </row>
    <row r="6" spans="1:24">
      <c r="E6" s="19" t="s">
        <v>250</v>
      </c>
      <c r="F6" s="19" t="s">
        <v>6</v>
      </c>
      <c r="G6" s="19" t="s">
        <v>3</v>
      </c>
      <c r="H6" s="415" t="s">
        <v>4</v>
      </c>
      <c r="I6" s="415" t="s">
        <v>5</v>
      </c>
      <c r="J6" s="415" t="s">
        <v>6</v>
      </c>
      <c r="K6" s="415" t="s">
        <v>3</v>
      </c>
      <c r="L6" s="415" t="s">
        <v>4</v>
      </c>
      <c r="M6" s="415" t="s">
        <v>5</v>
      </c>
      <c r="N6" s="415" t="s">
        <v>6</v>
      </c>
      <c r="O6" s="415" t="s">
        <v>3</v>
      </c>
      <c r="P6" s="415" t="s">
        <v>4</v>
      </c>
      <c r="Q6" s="415" t="s">
        <v>5</v>
      </c>
      <c r="R6" s="415" t="s">
        <v>6</v>
      </c>
      <c r="S6" s="415" t="s">
        <v>3</v>
      </c>
    </row>
    <row r="7" spans="1:24">
      <c r="A7" s="44"/>
      <c r="B7" s="44"/>
      <c r="C7" s="44"/>
      <c r="D7" s="44"/>
      <c r="E7" s="45" t="s">
        <v>43</v>
      </c>
      <c r="F7" s="45" t="s">
        <v>43</v>
      </c>
      <c r="G7" s="45" t="s">
        <v>44</v>
      </c>
      <c r="H7" s="416" t="s">
        <v>44</v>
      </c>
      <c r="I7" s="416" t="s">
        <v>44</v>
      </c>
      <c r="J7" s="416" t="s">
        <v>44</v>
      </c>
      <c r="K7" s="416" t="s">
        <v>45</v>
      </c>
      <c r="L7" s="416" t="s">
        <v>45</v>
      </c>
      <c r="M7" s="416" t="s">
        <v>45</v>
      </c>
      <c r="N7" s="416" t="s">
        <v>45</v>
      </c>
      <c r="O7" s="416" t="s">
        <v>46</v>
      </c>
      <c r="P7" s="416" t="s">
        <v>46</v>
      </c>
      <c r="Q7" s="416" t="s">
        <v>46</v>
      </c>
      <c r="R7" s="416" t="s">
        <v>46</v>
      </c>
      <c r="S7" s="416" t="s">
        <v>296</v>
      </c>
    </row>
    <row r="8" spans="1:24" ht="5.25" customHeight="1">
      <c r="A8" s="6"/>
      <c r="B8" s="6"/>
      <c r="C8" s="6"/>
      <c r="D8" s="6"/>
      <c r="P8" s="413"/>
      <c r="Q8" s="413"/>
      <c r="R8" s="413"/>
      <c r="S8" s="413"/>
    </row>
    <row r="9" spans="1:24">
      <c r="A9" s="8"/>
      <c r="B9" s="1" t="s">
        <v>235</v>
      </c>
      <c r="C9" s="9"/>
      <c r="D9" s="8"/>
      <c r="E9" s="13">
        <v>711</v>
      </c>
      <c r="F9" s="13">
        <v>1639</v>
      </c>
      <c r="G9" s="13">
        <v>981</v>
      </c>
      <c r="H9" s="417">
        <v>1038</v>
      </c>
      <c r="I9" s="417">
        <v>703</v>
      </c>
      <c r="J9" s="417">
        <v>1557</v>
      </c>
      <c r="K9" s="417">
        <v>1308</v>
      </c>
      <c r="L9" s="417">
        <v>967</v>
      </c>
      <c r="M9" s="417">
        <v>745</v>
      </c>
      <c r="N9" s="417">
        <v>1427</v>
      </c>
      <c r="O9" s="417">
        <v>1449</v>
      </c>
      <c r="P9" s="417">
        <v>1146</v>
      </c>
      <c r="Q9" s="417">
        <v>754</v>
      </c>
      <c r="R9" s="417">
        <v>1407</v>
      </c>
      <c r="S9" s="417">
        <v>1172</v>
      </c>
    </row>
    <row r="10" spans="1:24">
      <c r="A10" s="8"/>
      <c r="B10" s="1" t="s">
        <v>234</v>
      </c>
      <c r="C10" s="9"/>
      <c r="D10" s="8"/>
      <c r="E10" s="13"/>
      <c r="F10" s="13"/>
      <c r="G10" s="13"/>
      <c r="H10" s="417"/>
      <c r="I10" s="417"/>
      <c r="J10" s="417"/>
      <c r="K10" s="417"/>
      <c r="L10" s="417"/>
      <c r="M10" s="417"/>
      <c r="N10" s="417"/>
      <c r="O10" s="417"/>
      <c r="P10" s="417"/>
      <c r="Q10" s="417"/>
      <c r="R10" s="417"/>
      <c r="S10" s="417"/>
    </row>
    <row r="11" spans="1:24" s="48" customFormat="1">
      <c r="A11" s="10"/>
      <c r="C11" s="2" t="s">
        <v>248</v>
      </c>
      <c r="D11" s="10"/>
      <c r="E11" s="47">
        <v>279</v>
      </c>
      <c r="F11" s="47">
        <v>805</v>
      </c>
      <c r="G11" s="47">
        <v>296</v>
      </c>
      <c r="H11" s="418">
        <v>281</v>
      </c>
      <c r="I11" s="418">
        <v>185</v>
      </c>
      <c r="J11" s="418">
        <v>670</v>
      </c>
      <c r="K11" s="418">
        <v>337</v>
      </c>
      <c r="L11" s="418">
        <v>235</v>
      </c>
      <c r="M11" s="418">
        <v>194</v>
      </c>
      <c r="N11" s="418">
        <v>585</v>
      </c>
      <c r="O11" s="418">
        <v>299</v>
      </c>
      <c r="P11" s="418">
        <v>213</v>
      </c>
      <c r="Q11" s="418">
        <v>138</v>
      </c>
      <c r="R11" s="418">
        <v>483</v>
      </c>
      <c r="S11" s="418">
        <v>257</v>
      </c>
    </row>
    <row r="12" spans="1:24" s="48" customFormat="1">
      <c r="A12" s="10"/>
      <c r="C12" s="2" t="s">
        <v>284</v>
      </c>
      <c r="D12" s="10"/>
      <c r="E12" s="47">
        <v>43</v>
      </c>
      <c r="F12" s="47">
        <v>53</v>
      </c>
      <c r="G12" s="47">
        <v>52</v>
      </c>
      <c r="H12" s="418">
        <v>51</v>
      </c>
      <c r="I12" s="418">
        <v>55</v>
      </c>
      <c r="J12" s="418">
        <v>54</v>
      </c>
      <c r="K12" s="418">
        <f>54+2</f>
        <v>56</v>
      </c>
      <c r="L12" s="418">
        <f>52+1</f>
        <v>53</v>
      </c>
      <c r="M12" s="418">
        <v>61</v>
      </c>
      <c r="N12" s="418">
        <v>73</v>
      </c>
      <c r="O12" s="418">
        <v>63</v>
      </c>
      <c r="P12" s="418">
        <v>59</v>
      </c>
      <c r="Q12" s="418">
        <v>59</v>
      </c>
      <c r="R12" s="418">
        <v>58</v>
      </c>
      <c r="S12" s="418">
        <v>59</v>
      </c>
    </row>
    <row r="13" spans="1:24" s="48" customFormat="1">
      <c r="A13" s="10"/>
      <c r="C13" s="2" t="s">
        <v>246</v>
      </c>
      <c r="D13" s="10"/>
      <c r="E13" s="47">
        <v>50</v>
      </c>
      <c r="F13" s="47">
        <v>179</v>
      </c>
      <c r="G13" s="47">
        <v>72</v>
      </c>
      <c r="H13" s="418">
        <v>86</v>
      </c>
      <c r="I13" s="418">
        <v>54</v>
      </c>
      <c r="J13" s="418">
        <v>136</v>
      </c>
      <c r="K13" s="418">
        <v>99</v>
      </c>
      <c r="L13" s="418">
        <v>51</v>
      </c>
      <c r="M13" s="418">
        <v>61</v>
      </c>
      <c r="N13" s="418">
        <v>128</v>
      </c>
      <c r="O13" s="418">
        <v>61</v>
      </c>
      <c r="P13" s="418">
        <v>47</v>
      </c>
      <c r="Q13" s="418">
        <v>24</v>
      </c>
      <c r="R13" s="418">
        <v>85</v>
      </c>
      <c r="S13" s="418">
        <v>31</v>
      </c>
    </row>
    <row r="14" spans="1:24" s="48" customFormat="1">
      <c r="A14" s="10"/>
      <c r="C14" s="2" t="s">
        <v>247</v>
      </c>
      <c r="D14" s="10"/>
      <c r="E14" s="47">
        <v>36</v>
      </c>
      <c r="F14" s="47">
        <v>174</v>
      </c>
      <c r="G14" s="47">
        <v>64</v>
      </c>
      <c r="H14" s="418">
        <v>54</v>
      </c>
      <c r="I14" s="418">
        <v>45</v>
      </c>
      <c r="J14" s="418">
        <v>152</v>
      </c>
      <c r="K14" s="418">
        <v>43</v>
      </c>
      <c r="L14" s="418">
        <v>29</v>
      </c>
      <c r="M14" s="418">
        <v>33</v>
      </c>
      <c r="N14" s="418">
        <v>92</v>
      </c>
      <c r="O14" s="418">
        <v>29</v>
      </c>
      <c r="P14" s="418">
        <v>24</v>
      </c>
      <c r="Q14" s="418">
        <v>16</v>
      </c>
      <c r="R14" s="418">
        <v>96</v>
      </c>
      <c r="S14" s="418">
        <v>7</v>
      </c>
    </row>
    <row r="15" spans="1:24">
      <c r="A15" s="10"/>
      <c r="B15" s="10"/>
      <c r="C15" s="6" t="s">
        <v>47</v>
      </c>
      <c r="D15" s="10"/>
      <c r="E15" s="15">
        <v>200</v>
      </c>
      <c r="F15" s="15">
        <v>196</v>
      </c>
      <c r="G15" s="15">
        <v>117</v>
      </c>
      <c r="H15" s="419">
        <v>123</v>
      </c>
      <c r="I15" s="419">
        <v>122</v>
      </c>
      <c r="J15" s="419">
        <v>265</v>
      </c>
      <c r="K15" s="419">
        <f>143-7</f>
        <v>136</v>
      </c>
      <c r="L15" s="419">
        <f>104-5</f>
        <v>99</v>
      </c>
      <c r="M15" s="419">
        <f>119-1</f>
        <v>118</v>
      </c>
      <c r="N15" s="419">
        <f>275-2</f>
        <v>273</v>
      </c>
      <c r="O15" s="419">
        <v>142</v>
      </c>
      <c r="P15" s="419">
        <v>116</v>
      </c>
      <c r="Q15" s="419">
        <v>133</v>
      </c>
      <c r="R15" s="419">
        <v>256</v>
      </c>
      <c r="S15" s="419">
        <v>124</v>
      </c>
    </row>
    <row r="16" spans="1:24">
      <c r="A16" s="10"/>
      <c r="B16" s="10"/>
      <c r="C16" s="6" t="s">
        <v>48</v>
      </c>
      <c r="D16" s="10"/>
      <c r="E16" s="15">
        <v>142</v>
      </c>
      <c r="F16" s="15">
        <v>244</v>
      </c>
      <c r="G16" s="15">
        <v>83</v>
      </c>
      <c r="H16" s="419">
        <v>118</v>
      </c>
      <c r="I16" s="419">
        <v>128</v>
      </c>
      <c r="J16" s="419">
        <v>215</v>
      </c>
      <c r="K16" s="419">
        <v>56</v>
      </c>
      <c r="L16" s="419">
        <f>126-1</f>
        <v>125</v>
      </c>
      <c r="M16" s="419">
        <f>111-1</f>
        <v>110</v>
      </c>
      <c r="N16" s="419">
        <f>226-1</f>
        <v>225</v>
      </c>
      <c r="O16" s="419">
        <f>64-4</f>
        <v>60</v>
      </c>
      <c r="P16" s="419">
        <v>90</v>
      </c>
      <c r="Q16" s="419">
        <f>118-3</f>
        <v>115</v>
      </c>
      <c r="R16" s="419">
        <f>284-3</f>
        <v>281</v>
      </c>
      <c r="S16" s="419">
        <v>79</v>
      </c>
    </row>
    <row r="17" spans="1:19">
      <c r="A17" s="10"/>
      <c r="B17" s="10"/>
      <c r="C17" s="6" t="s">
        <v>49</v>
      </c>
      <c r="D17" s="10"/>
      <c r="E17" s="15">
        <v>94</v>
      </c>
      <c r="F17" s="15">
        <v>104</v>
      </c>
      <c r="G17" s="15">
        <v>103</v>
      </c>
      <c r="H17" s="419">
        <v>92</v>
      </c>
      <c r="I17" s="419">
        <v>106</v>
      </c>
      <c r="J17" s="419">
        <v>94</v>
      </c>
      <c r="K17" s="419">
        <f>65+5</f>
        <v>70</v>
      </c>
      <c r="L17" s="523">
        <f>70+5</f>
        <v>75</v>
      </c>
      <c r="M17" s="419">
        <f>111+2</f>
        <v>113</v>
      </c>
      <c r="N17" s="419">
        <f>119+3</f>
        <v>122</v>
      </c>
      <c r="O17" s="419">
        <f>98+4</f>
        <v>102</v>
      </c>
      <c r="P17" s="419">
        <v>127</v>
      </c>
      <c r="Q17" s="419">
        <f>101+3</f>
        <v>104</v>
      </c>
      <c r="R17" s="419">
        <f>106+12+3+1</f>
        <v>122</v>
      </c>
      <c r="S17" s="419">
        <v>102</v>
      </c>
    </row>
    <row r="18" spans="1:19">
      <c r="A18" s="10"/>
      <c r="B18" s="10"/>
      <c r="C18" s="6" t="s">
        <v>50</v>
      </c>
      <c r="D18" s="10"/>
      <c r="E18" s="15">
        <v>61</v>
      </c>
      <c r="F18" s="15">
        <v>32</v>
      </c>
      <c r="G18" s="15">
        <v>15</v>
      </c>
      <c r="H18" s="419">
        <v>15</v>
      </c>
      <c r="I18" s="419">
        <v>-1</v>
      </c>
      <c r="J18" s="419">
        <v>-6</v>
      </c>
      <c r="K18" s="419">
        <v>0</v>
      </c>
      <c r="L18" s="419">
        <v>0</v>
      </c>
      <c r="M18" s="419">
        <v>0</v>
      </c>
      <c r="N18" s="419">
        <v>0</v>
      </c>
      <c r="O18" s="419">
        <v>19</v>
      </c>
      <c r="P18" s="419">
        <v>3</v>
      </c>
      <c r="Q18" s="419">
        <v>3</v>
      </c>
      <c r="R18" s="419">
        <f>2-1</f>
        <v>1</v>
      </c>
      <c r="S18" s="419">
        <v>0</v>
      </c>
    </row>
    <row r="19" spans="1:19" ht="16.5">
      <c r="A19" s="10"/>
      <c r="B19" s="10"/>
      <c r="C19" s="6" t="s">
        <v>51</v>
      </c>
      <c r="D19" s="10"/>
      <c r="E19" s="16">
        <v>0</v>
      </c>
      <c r="F19" s="16">
        <v>0</v>
      </c>
      <c r="G19" s="16">
        <v>0</v>
      </c>
      <c r="H19" s="420">
        <v>0</v>
      </c>
      <c r="I19" s="420">
        <v>0</v>
      </c>
      <c r="J19" s="420">
        <v>409</v>
      </c>
      <c r="K19" s="420">
        <v>0</v>
      </c>
      <c r="L19" s="420">
        <v>0</v>
      </c>
      <c r="M19" s="420">
        <v>0</v>
      </c>
      <c r="N19" s="420">
        <v>326</v>
      </c>
      <c r="O19" s="420">
        <v>0</v>
      </c>
      <c r="P19" s="420">
        <v>0</v>
      </c>
      <c r="Q19" s="420">
        <v>0</v>
      </c>
      <c r="R19" s="420">
        <v>0</v>
      </c>
      <c r="S19" s="420">
        <v>0</v>
      </c>
    </row>
    <row r="20" spans="1:19" ht="16.5">
      <c r="A20" s="10"/>
      <c r="B20" s="10"/>
      <c r="C20" s="10"/>
      <c r="D20" s="10" t="s">
        <v>233</v>
      </c>
      <c r="E20" s="16">
        <f t="shared" ref="E20:P20" si="0">SUM(E11:E19)</f>
        <v>905</v>
      </c>
      <c r="F20" s="16">
        <f t="shared" si="0"/>
        <v>1787</v>
      </c>
      <c r="G20" s="16">
        <f t="shared" si="0"/>
        <v>802</v>
      </c>
      <c r="H20" s="420">
        <f t="shared" si="0"/>
        <v>820</v>
      </c>
      <c r="I20" s="420">
        <f t="shared" si="0"/>
        <v>694</v>
      </c>
      <c r="J20" s="420">
        <f t="shared" si="0"/>
        <v>1989</v>
      </c>
      <c r="K20" s="420">
        <f t="shared" si="0"/>
        <v>797</v>
      </c>
      <c r="L20" s="420">
        <f t="shared" si="0"/>
        <v>667</v>
      </c>
      <c r="M20" s="420">
        <f t="shared" si="0"/>
        <v>690</v>
      </c>
      <c r="N20" s="420">
        <f t="shared" si="0"/>
        <v>1824</v>
      </c>
      <c r="O20" s="420">
        <f t="shared" si="0"/>
        <v>775</v>
      </c>
      <c r="P20" s="420">
        <f t="shared" si="0"/>
        <v>679</v>
      </c>
      <c r="Q20" s="420">
        <f t="shared" ref="Q20:R20" si="1">SUM(Q11:Q19)</f>
        <v>592</v>
      </c>
      <c r="R20" s="420">
        <f t="shared" si="1"/>
        <v>1382</v>
      </c>
      <c r="S20" s="420">
        <f t="shared" ref="S20" si="2">SUM(S11:S19)</f>
        <v>659</v>
      </c>
    </row>
    <row r="21" spans="1:19">
      <c r="A21" s="11"/>
      <c r="B21" s="25" t="s">
        <v>1</v>
      </c>
      <c r="C21" s="3"/>
      <c r="D21" s="11"/>
      <c r="E21" s="14">
        <f t="shared" ref="E21:P21" si="3">+E9-E20</f>
        <v>-194</v>
      </c>
      <c r="F21" s="14">
        <f t="shared" si="3"/>
        <v>-148</v>
      </c>
      <c r="G21" s="14">
        <f t="shared" si="3"/>
        <v>179</v>
      </c>
      <c r="H21" s="421">
        <f t="shared" si="3"/>
        <v>218</v>
      </c>
      <c r="I21" s="421">
        <f t="shared" si="3"/>
        <v>9</v>
      </c>
      <c r="J21" s="421">
        <f t="shared" si="3"/>
        <v>-432</v>
      </c>
      <c r="K21" s="421">
        <f t="shared" si="3"/>
        <v>511</v>
      </c>
      <c r="L21" s="421">
        <f t="shared" si="3"/>
        <v>300</v>
      </c>
      <c r="M21" s="421">
        <f t="shared" si="3"/>
        <v>55</v>
      </c>
      <c r="N21" s="421">
        <f t="shared" si="3"/>
        <v>-397</v>
      </c>
      <c r="O21" s="421">
        <f t="shared" si="3"/>
        <v>674</v>
      </c>
      <c r="P21" s="421">
        <f t="shared" si="3"/>
        <v>467</v>
      </c>
      <c r="Q21" s="421">
        <f t="shared" ref="Q21:R21" si="4">+Q9-Q20</f>
        <v>162</v>
      </c>
      <c r="R21" s="421">
        <f t="shared" si="4"/>
        <v>25</v>
      </c>
      <c r="S21" s="421">
        <f t="shared" ref="S21" si="5">+S9-S20</f>
        <v>513</v>
      </c>
    </row>
    <row r="22" spans="1:19" ht="16.5">
      <c r="A22" s="12"/>
      <c r="B22" s="2" t="s">
        <v>279</v>
      </c>
      <c r="C22" s="12"/>
      <c r="D22" s="12"/>
      <c r="E22" s="16">
        <v>24</v>
      </c>
      <c r="F22" s="16">
        <v>18</v>
      </c>
      <c r="G22" s="16">
        <v>10</v>
      </c>
      <c r="H22" s="420">
        <v>0</v>
      </c>
      <c r="I22" s="420">
        <v>11</v>
      </c>
      <c r="J22" s="420">
        <v>-3</v>
      </c>
      <c r="K22" s="420">
        <v>0</v>
      </c>
      <c r="L22" s="420">
        <v>1</v>
      </c>
      <c r="M22" s="420">
        <v>14</v>
      </c>
      <c r="N22" s="420">
        <v>8</v>
      </c>
      <c r="O22" s="420">
        <v>2</v>
      </c>
      <c r="P22" s="420">
        <v>2</v>
      </c>
      <c r="Q22" s="420">
        <v>3</v>
      </c>
      <c r="R22" s="420">
        <v>-5</v>
      </c>
      <c r="S22" s="420">
        <v>1</v>
      </c>
    </row>
    <row r="23" spans="1:19">
      <c r="A23" s="12"/>
      <c r="B23" s="22" t="s">
        <v>52</v>
      </c>
      <c r="C23" s="4"/>
      <c r="D23" s="12"/>
      <c r="E23" s="15">
        <f>SUM(E21:E22)</f>
        <v>-170</v>
      </c>
      <c r="F23" s="15">
        <f t="shared" ref="F23:O23" si="6">SUM(F21:F22)</f>
        <v>-130</v>
      </c>
      <c r="G23" s="15">
        <f t="shared" si="6"/>
        <v>189</v>
      </c>
      <c r="H23" s="419">
        <f t="shared" si="6"/>
        <v>218</v>
      </c>
      <c r="I23" s="419">
        <f t="shared" si="6"/>
        <v>20</v>
      </c>
      <c r="J23" s="419">
        <f t="shared" si="6"/>
        <v>-435</v>
      </c>
      <c r="K23" s="419">
        <f t="shared" si="6"/>
        <v>511</v>
      </c>
      <c r="L23" s="419">
        <f t="shared" si="6"/>
        <v>301</v>
      </c>
      <c r="M23" s="419">
        <f t="shared" si="6"/>
        <v>69</v>
      </c>
      <c r="N23" s="419">
        <f t="shared" si="6"/>
        <v>-389</v>
      </c>
      <c r="O23" s="419">
        <f t="shared" si="6"/>
        <v>676</v>
      </c>
      <c r="P23" s="419">
        <f t="shared" ref="P23:Q23" si="7">SUM(P21:P22)</f>
        <v>469</v>
      </c>
      <c r="Q23" s="419">
        <f t="shared" si="7"/>
        <v>165</v>
      </c>
      <c r="R23" s="419">
        <f t="shared" ref="R23:S23" si="8">SUM(R21:R22)</f>
        <v>20</v>
      </c>
      <c r="S23" s="419">
        <f t="shared" si="8"/>
        <v>514</v>
      </c>
    </row>
    <row r="24" spans="1:19" ht="16.5">
      <c r="A24" s="12"/>
      <c r="B24" s="2" t="s">
        <v>53</v>
      </c>
      <c r="C24" s="4"/>
      <c r="D24" s="12"/>
      <c r="E24" s="16">
        <v>-62</v>
      </c>
      <c r="F24" s="16">
        <v>-58</v>
      </c>
      <c r="G24" s="16">
        <v>0</v>
      </c>
      <c r="H24" s="420">
        <v>23</v>
      </c>
      <c r="I24" s="420">
        <v>5</v>
      </c>
      <c r="J24" s="420">
        <v>-149</v>
      </c>
      <c r="K24" s="420">
        <v>130</v>
      </c>
      <c r="L24" s="420">
        <v>82</v>
      </c>
      <c r="M24" s="420">
        <v>18</v>
      </c>
      <c r="N24" s="420">
        <v>-156</v>
      </c>
      <c r="O24" s="420">
        <v>173</v>
      </c>
      <c r="P24" s="420">
        <v>134</v>
      </c>
      <c r="Q24" s="420">
        <v>17</v>
      </c>
      <c r="R24" s="420">
        <v>-79</v>
      </c>
      <c r="S24" s="420">
        <v>130</v>
      </c>
    </row>
    <row r="25" spans="1:19" ht="16.5">
      <c r="A25" s="9"/>
      <c r="B25" s="25" t="s">
        <v>2</v>
      </c>
      <c r="C25" s="9"/>
      <c r="D25" s="9"/>
      <c r="E25" s="17">
        <f>E23-E24</f>
        <v>-108</v>
      </c>
      <c r="F25" s="17">
        <f t="shared" ref="F25:O25" si="9">F23-F24</f>
        <v>-72</v>
      </c>
      <c r="G25" s="17">
        <f t="shared" si="9"/>
        <v>189</v>
      </c>
      <c r="H25" s="422">
        <f t="shared" si="9"/>
        <v>195</v>
      </c>
      <c r="I25" s="422">
        <f t="shared" si="9"/>
        <v>15</v>
      </c>
      <c r="J25" s="422">
        <f t="shared" si="9"/>
        <v>-286</v>
      </c>
      <c r="K25" s="422">
        <f t="shared" si="9"/>
        <v>381</v>
      </c>
      <c r="L25" s="422">
        <f t="shared" si="9"/>
        <v>219</v>
      </c>
      <c r="M25" s="422">
        <f t="shared" si="9"/>
        <v>51</v>
      </c>
      <c r="N25" s="422">
        <f t="shared" si="9"/>
        <v>-233</v>
      </c>
      <c r="O25" s="422">
        <f t="shared" si="9"/>
        <v>503</v>
      </c>
      <c r="P25" s="422">
        <f>P23-P24</f>
        <v>335</v>
      </c>
      <c r="Q25" s="422">
        <f>Q23-Q24</f>
        <v>148</v>
      </c>
      <c r="R25" s="422">
        <f>R23-R24</f>
        <v>99</v>
      </c>
      <c r="S25" s="422">
        <f>S23-S24</f>
        <v>384</v>
      </c>
    </row>
    <row r="26" spans="1:19" ht="24" customHeight="1">
      <c r="A26" s="9"/>
      <c r="B26" s="25"/>
      <c r="C26" s="9"/>
      <c r="D26" s="9"/>
      <c r="E26" s="17"/>
      <c r="F26" s="17"/>
      <c r="G26" s="17"/>
      <c r="H26" s="422"/>
      <c r="I26" s="540"/>
      <c r="J26" s="422"/>
      <c r="K26" s="422"/>
      <c r="L26" s="422"/>
      <c r="M26" s="540"/>
      <c r="N26" s="422"/>
      <c r="O26" s="422"/>
      <c r="P26" s="422"/>
      <c r="Q26" s="540"/>
      <c r="R26" s="540"/>
      <c r="S26" s="540"/>
    </row>
    <row r="27" spans="1:19">
      <c r="A27" s="32"/>
      <c r="B27" s="29" t="s">
        <v>32</v>
      </c>
      <c r="C27" s="29"/>
      <c r="D27" s="29"/>
      <c r="E27" s="33"/>
      <c r="F27" s="33"/>
      <c r="G27" s="33"/>
      <c r="H27" s="423"/>
      <c r="I27" s="423"/>
      <c r="J27" s="423"/>
      <c r="K27" s="423"/>
      <c r="L27" s="423"/>
      <c r="M27" s="423"/>
      <c r="N27" s="423"/>
      <c r="O27" s="423"/>
      <c r="P27" s="423"/>
      <c r="Q27" s="423"/>
      <c r="R27" s="423"/>
      <c r="S27" s="423"/>
    </row>
    <row r="28" spans="1:19">
      <c r="A28" s="32"/>
      <c r="B28" s="29"/>
      <c r="C28" s="28" t="s">
        <v>34</v>
      </c>
      <c r="D28" s="29"/>
      <c r="E28" s="35">
        <v>-0.08</v>
      </c>
      <c r="F28" s="35">
        <v>-0.05</v>
      </c>
      <c r="G28" s="35">
        <v>0.14000000000000001</v>
      </c>
      <c r="H28" s="424">
        <v>0.15</v>
      </c>
      <c r="I28" s="424">
        <v>0.01</v>
      </c>
      <c r="J28" s="424">
        <v>-0.23</v>
      </c>
      <c r="K28" s="424">
        <v>0.3</v>
      </c>
      <c r="L28" s="424">
        <v>0.18</v>
      </c>
      <c r="M28" s="424">
        <v>0.04</v>
      </c>
      <c r="N28" s="424">
        <v>-0.2</v>
      </c>
      <c r="O28" s="424">
        <v>0.42</v>
      </c>
      <c r="P28" s="425">
        <v>0.28999999999999998</v>
      </c>
      <c r="Q28" s="425">
        <v>0.13</v>
      </c>
      <c r="R28" s="425">
        <v>0.09</v>
      </c>
      <c r="S28" s="425">
        <v>0.34</v>
      </c>
    </row>
    <row r="29" spans="1:19">
      <c r="A29" s="32"/>
      <c r="B29" s="29"/>
      <c r="C29" s="28" t="s">
        <v>35</v>
      </c>
      <c r="D29" s="29"/>
      <c r="E29" s="35">
        <v>-0.08</v>
      </c>
      <c r="F29" s="36">
        <v>-0.05</v>
      </c>
      <c r="G29" s="36">
        <v>0.14000000000000001</v>
      </c>
      <c r="H29" s="425">
        <v>0.15</v>
      </c>
      <c r="I29" s="425">
        <v>0.01</v>
      </c>
      <c r="J29" s="425">
        <v>-0.23</v>
      </c>
      <c r="K29" s="425">
        <v>0.3</v>
      </c>
      <c r="L29" s="424">
        <v>0.17</v>
      </c>
      <c r="M29" s="424">
        <v>0.04</v>
      </c>
      <c r="N29" s="424">
        <v>-0.2</v>
      </c>
      <c r="O29" s="424">
        <v>0.42</v>
      </c>
      <c r="P29" s="425">
        <v>0.28999999999999998</v>
      </c>
      <c r="Q29" s="425">
        <v>0.13</v>
      </c>
      <c r="R29" s="425">
        <v>0.08</v>
      </c>
      <c r="S29" s="425">
        <v>0.33</v>
      </c>
    </row>
    <row r="30" spans="1:19" ht="4.1500000000000004" customHeight="1">
      <c r="A30" s="32"/>
      <c r="B30" s="29"/>
      <c r="C30" s="29"/>
      <c r="D30" s="29"/>
      <c r="P30" s="426"/>
      <c r="Q30" s="426"/>
      <c r="R30" s="426"/>
      <c r="S30" s="426"/>
    </row>
    <row r="31" spans="1:19">
      <c r="A31" s="32"/>
      <c r="B31" s="5" t="s">
        <v>33</v>
      </c>
      <c r="C31" s="32"/>
      <c r="D31" s="29"/>
      <c r="G31" s="410"/>
      <c r="H31" s="427"/>
      <c r="L31" s="427"/>
      <c r="P31" s="428"/>
      <c r="Q31" s="428"/>
      <c r="R31" s="428"/>
      <c r="S31" s="428"/>
    </row>
    <row r="32" spans="1:19">
      <c r="A32" s="32"/>
      <c r="B32" s="29"/>
      <c r="C32" s="18" t="s">
        <v>34</v>
      </c>
      <c r="D32" s="29"/>
      <c r="E32" s="46">
        <v>1271</v>
      </c>
      <c r="F32" s="46">
        <v>1326</v>
      </c>
      <c r="G32" s="46">
        <v>1308</v>
      </c>
      <c r="H32" s="429">
        <v>1289</v>
      </c>
      <c r="I32" s="429">
        <v>1271</v>
      </c>
      <c r="J32" s="429">
        <v>1265</v>
      </c>
      <c r="K32" s="429">
        <v>1248</v>
      </c>
      <c r="L32" s="429">
        <v>1232</v>
      </c>
      <c r="M32" s="429">
        <v>1212</v>
      </c>
      <c r="N32" s="429">
        <v>1198</v>
      </c>
      <c r="O32" s="429">
        <v>1173</v>
      </c>
      <c r="P32" s="429">
        <v>1141</v>
      </c>
      <c r="Q32" s="429">
        <v>1140</v>
      </c>
      <c r="R32" s="429">
        <v>1139</v>
      </c>
      <c r="S32" s="429">
        <v>1120</v>
      </c>
    </row>
    <row r="33" spans="1:19">
      <c r="A33" s="32"/>
      <c r="B33" s="29"/>
      <c r="C33" s="18" t="s">
        <v>35</v>
      </c>
      <c r="D33" s="29"/>
      <c r="E33" s="46">
        <v>1271</v>
      </c>
      <c r="F33" s="46">
        <v>1326</v>
      </c>
      <c r="G33" s="37">
        <v>1359</v>
      </c>
      <c r="H33" s="429">
        <v>1332</v>
      </c>
      <c r="I33" s="429">
        <v>1297</v>
      </c>
      <c r="J33" s="429">
        <v>1265</v>
      </c>
      <c r="K33" s="429">
        <v>1264</v>
      </c>
      <c r="L33" s="429">
        <v>1248</v>
      </c>
      <c r="M33" s="429">
        <v>1227</v>
      </c>
      <c r="N33" s="429">
        <v>1198</v>
      </c>
      <c r="O33" s="429">
        <v>1182</v>
      </c>
      <c r="P33" s="429">
        <v>1150</v>
      </c>
      <c r="Q33" s="429">
        <v>1148</v>
      </c>
      <c r="R33" s="429">
        <v>1147</v>
      </c>
      <c r="S33" s="429">
        <v>1127</v>
      </c>
    </row>
    <row r="34" spans="1:19">
      <c r="A34" s="32"/>
      <c r="B34" s="29"/>
      <c r="C34" s="18"/>
      <c r="D34" s="29"/>
      <c r="E34" s="34"/>
      <c r="F34" s="34"/>
      <c r="G34" s="18"/>
      <c r="H34" s="430"/>
      <c r="I34" s="430"/>
      <c r="J34" s="430"/>
      <c r="K34" s="430"/>
      <c r="L34" s="430"/>
      <c r="M34" s="430"/>
      <c r="N34" s="430"/>
      <c r="O34" s="430"/>
      <c r="P34" s="431"/>
      <c r="Q34" s="431"/>
      <c r="R34" s="431"/>
      <c r="S34" s="431"/>
    </row>
    <row r="35" spans="1:19">
      <c r="A35" s="20" t="s">
        <v>38</v>
      </c>
      <c r="B35" s="29"/>
      <c r="C35" s="18"/>
      <c r="D35" s="29"/>
      <c r="E35" s="34"/>
      <c r="F35" s="34"/>
      <c r="G35" s="18"/>
      <c r="H35" s="430"/>
      <c r="I35" s="430"/>
      <c r="J35" s="430"/>
      <c r="K35" s="430"/>
      <c r="L35" s="430"/>
      <c r="M35" s="430"/>
      <c r="N35" s="430"/>
      <c r="O35" s="430"/>
      <c r="P35" s="431"/>
      <c r="Q35" s="431"/>
      <c r="R35" s="431"/>
      <c r="S35" s="431"/>
    </row>
    <row r="36" spans="1:19">
      <c r="A36" s="32"/>
      <c r="B36" s="29"/>
      <c r="C36" s="18"/>
      <c r="D36" s="29"/>
      <c r="E36" s="19" t="s">
        <v>250</v>
      </c>
      <c r="F36" s="19" t="str">
        <f t="shared" ref="F36:P36" si="10">F6</f>
        <v>Q4</v>
      </c>
      <c r="G36" s="19" t="str">
        <f t="shared" si="10"/>
        <v>Q1</v>
      </c>
      <c r="H36" s="415" t="str">
        <f t="shared" si="10"/>
        <v>Q2</v>
      </c>
      <c r="I36" s="415" t="str">
        <f t="shared" si="10"/>
        <v>Q3</v>
      </c>
      <c r="J36" s="415" t="str">
        <f t="shared" si="10"/>
        <v>Q4</v>
      </c>
      <c r="K36" s="415" t="str">
        <f t="shared" si="10"/>
        <v>Q1</v>
      </c>
      <c r="L36" s="415" t="str">
        <f t="shared" si="10"/>
        <v>Q2</v>
      </c>
      <c r="M36" s="415" t="str">
        <f t="shared" si="10"/>
        <v>Q3</v>
      </c>
      <c r="N36" s="415" t="str">
        <f t="shared" si="10"/>
        <v>Q4</v>
      </c>
      <c r="O36" s="415" t="str">
        <f t="shared" si="10"/>
        <v>Q1</v>
      </c>
      <c r="P36" s="415" t="str">
        <f t="shared" si="10"/>
        <v>Q2</v>
      </c>
      <c r="Q36" s="415" t="str">
        <f t="shared" ref="Q36:R36" si="11">Q6</f>
        <v>Q3</v>
      </c>
      <c r="R36" s="415" t="str">
        <f t="shared" si="11"/>
        <v>Q4</v>
      </c>
      <c r="S36" s="415" t="str">
        <f t="shared" ref="S36" si="12">S6</f>
        <v>Q1</v>
      </c>
    </row>
    <row r="37" spans="1:19">
      <c r="A37" s="32"/>
      <c r="B37" s="29"/>
      <c r="C37" s="18"/>
      <c r="D37" s="29"/>
      <c r="E37" s="45" t="str">
        <f>E7</f>
        <v>CY08</v>
      </c>
      <c r="F37" s="45" t="str">
        <f t="shared" ref="F37:P37" si="13">F7</f>
        <v>CY08</v>
      </c>
      <c r="G37" s="45" t="str">
        <f t="shared" si="13"/>
        <v>CY09</v>
      </c>
      <c r="H37" s="416" t="str">
        <f t="shared" si="13"/>
        <v>CY09</v>
      </c>
      <c r="I37" s="416" t="str">
        <f t="shared" si="13"/>
        <v>CY09</v>
      </c>
      <c r="J37" s="416" t="str">
        <f t="shared" si="13"/>
        <v>CY09</v>
      </c>
      <c r="K37" s="416" t="str">
        <f t="shared" si="13"/>
        <v>CY10</v>
      </c>
      <c r="L37" s="416" t="str">
        <f t="shared" si="13"/>
        <v>CY10</v>
      </c>
      <c r="M37" s="416" t="str">
        <f t="shared" si="13"/>
        <v>CY10</v>
      </c>
      <c r="N37" s="416" t="str">
        <f t="shared" si="13"/>
        <v>CY10</v>
      </c>
      <c r="O37" s="416" t="str">
        <f t="shared" si="13"/>
        <v>CY11</v>
      </c>
      <c r="P37" s="416" t="str">
        <f t="shared" si="13"/>
        <v>CY11</v>
      </c>
      <c r="Q37" s="416" t="str">
        <f t="shared" ref="Q37:R37" si="14">Q7</f>
        <v>CY11</v>
      </c>
      <c r="R37" s="416" t="str">
        <f t="shared" si="14"/>
        <v>CY11</v>
      </c>
      <c r="S37" s="416" t="str">
        <f t="shared" ref="S37" si="15">S7</f>
        <v>CY12</v>
      </c>
    </row>
    <row r="38" spans="1:19" ht="7.5" customHeight="1">
      <c r="A38" s="32"/>
      <c r="B38" s="29"/>
      <c r="C38" s="18"/>
      <c r="D38" s="29"/>
      <c r="E38" s="34"/>
      <c r="F38" s="34"/>
      <c r="G38" s="18"/>
      <c r="H38" s="430"/>
      <c r="I38" s="430"/>
      <c r="J38" s="430"/>
      <c r="K38" s="430"/>
      <c r="L38" s="430"/>
      <c r="M38" s="430"/>
      <c r="N38" s="430"/>
      <c r="O38" s="430"/>
      <c r="P38" s="432"/>
      <c r="Q38" s="432"/>
      <c r="R38" s="432"/>
      <c r="S38" s="432"/>
    </row>
    <row r="39" spans="1:19" ht="16.5" customHeight="1">
      <c r="A39" s="32"/>
      <c r="B39" s="1" t="s">
        <v>234</v>
      </c>
      <c r="C39" s="18"/>
      <c r="D39" s="29"/>
      <c r="E39" s="34"/>
      <c r="F39" s="34"/>
      <c r="G39" s="18"/>
      <c r="H39" s="430"/>
      <c r="I39" s="430"/>
      <c r="J39" s="430"/>
      <c r="K39" s="430"/>
      <c r="L39" s="430"/>
      <c r="M39" s="430"/>
      <c r="N39" s="430"/>
      <c r="O39" s="430"/>
      <c r="P39" s="432"/>
      <c r="Q39" s="432"/>
      <c r="R39" s="432"/>
      <c r="S39" s="432"/>
    </row>
    <row r="40" spans="1:19" s="48" customFormat="1">
      <c r="A40" s="10"/>
      <c r="C40" s="2" t="s">
        <v>248</v>
      </c>
      <c r="D40" s="10"/>
      <c r="E40" s="39">
        <f>E11/E$9</f>
        <v>0.39240506329113922</v>
      </c>
      <c r="F40" s="39">
        <f t="shared" ref="F40:O40" si="16">F11/F$9</f>
        <v>0.49115314215985356</v>
      </c>
      <c r="G40" s="39">
        <f t="shared" si="16"/>
        <v>0.30173292558613657</v>
      </c>
      <c r="H40" s="433">
        <f t="shared" si="16"/>
        <v>0.27071290944123316</v>
      </c>
      <c r="I40" s="433">
        <f t="shared" si="16"/>
        <v>0.26315789473684209</v>
      </c>
      <c r="J40" s="433">
        <f t="shared" si="16"/>
        <v>0.43031470777135516</v>
      </c>
      <c r="K40" s="433">
        <f t="shared" si="16"/>
        <v>0.25764525993883791</v>
      </c>
      <c r="L40" s="433">
        <f t="shared" si="16"/>
        <v>0.24301964839710444</v>
      </c>
      <c r="M40" s="433">
        <f t="shared" si="16"/>
        <v>0.26040268456375837</v>
      </c>
      <c r="N40" s="433">
        <f t="shared" si="16"/>
        <v>0.40995094604064469</v>
      </c>
      <c r="O40" s="433">
        <f t="shared" si="16"/>
        <v>0.20634920634920634</v>
      </c>
      <c r="P40" s="433">
        <f t="shared" ref="P40:P43" si="17">P11/P$9</f>
        <v>0.18586387434554974</v>
      </c>
      <c r="Q40" s="433">
        <f t="shared" ref="Q40" si="18">Q11/Q$9</f>
        <v>0.1830238726790451</v>
      </c>
      <c r="R40" s="433">
        <f t="shared" ref="R40:R44" si="19">R11/R$9</f>
        <v>0.34328358208955223</v>
      </c>
      <c r="S40" s="433">
        <f t="shared" ref="S40:S54" si="20">S11/S$9</f>
        <v>0.21928327645051193</v>
      </c>
    </row>
    <row r="41" spans="1:19" s="48" customFormat="1">
      <c r="A41" s="10"/>
      <c r="C41" s="2" t="s">
        <v>284</v>
      </c>
      <c r="D41" s="10"/>
      <c r="E41" s="39">
        <f t="shared" ref="E41:O41" si="21">E12/E$9</f>
        <v>6.0478199718706049E-2</v>
      </c>
      <c r="F41" s="39">
        <f t="shared" si="21"/>
        <v>3.2336790726052472E-2</v>
      </c>
      <c r="G41" s="39">
        <f t="shared" si="21"/>
        <v>5.3007135575942915E-2</v>
      </c>
      <c r="H41" s="433">
        <f t="shared" si="21"/>
        <v>4.9132947976878616E-2</v>
      </c>
      <c r="I41" s="433">
        <f t="shared" si="21"/>
        <v>7.8236130867709822E-2</v>
      </c>
      <c r="J41" s="433">
        <f t="shared" si="21"/>
        <v>3.4682080924855488E-2</v>
      </c>
      <c r="K41" s="433">
        <f t="shared" si="21"/>
        <v>4.2813455657492352E-2</v>
      </c>
      <c r="L41" s="433">
        <f t="shared" si="21"/>
        <v>5.4808686659772489E-2</v>
      </c>
      <c r="M41" s="433">
        <f t="shared" si="21"/>
        <v>8.1879194630872482E-2</v>
      </c>
      <c r="N41" s="433">
        <f t="shared" si="21"/>
        <v>5.1156271899089001E-2</v>
      </c>
      <c r="O41" s="433">
        <f t="shared" si="21"/>
        <v>4.3478260869565216E-2</v>
      </c>
      <c r="P41" s="433">
        <f t="shared" si="17"/>
        <v>5.1483420593368238E-2</v>
      </c>
      <c r="Q41" s="433">
        <f t="shared" ref="Q41:R54" si="22">Q12/Q$9</f>
        <v>7.8249336870026526E-2</v>
      </c>
      <c r="R41" s="433">
        <f t="shared" si="19"/>
        <v>4.1222459132906897E-2</v>
      </c>
      <c r="S41" s="433">
        <f t="shared" si="20"/>
        <v>5.0341296928327645E-2</v>
      </c>
    </row>
    <row r="42" spans="1:19" s="48" customFormat="1">
      <c r="A42" s="10"/>
      <c r="C42" s="2" t="s">
        <v>246</v>
      </c>
      <c r="D42" s="10"/>
      <c r="E42" s="39">
        <f t="shared" ref="E42:O42" si="23">E13/E$9</f>
        <v>7.0323488045007029E-2</v>
      </c>
      <c r="F42" s="39">
        <f t="shared" si="23"/>
        <v>0.10921293471629043</v>
      </c>
      <c r="G42" s="39">
        <f t="shared" si="23"/>
        <v>7.3394495412844041E-2</v>
      </c>
      <c r="H42" s="433">
        <f t="shared" si="23"/>
        <v>8.2851637764932567E-2</v>
      </c>
      <c r="I42" s="433">
        <f t="shared" si="23"/>
        <v>7.6813655761024183E-2</v>
      </c>
      <c r="J42" s="433">
        <f t="shared" si="23"/>
        <v>8.7347463070006418E-2</v>
      </c>
      <c r="K42" s="433">
        <f t="shared" si="23"/>
        <v>7.5688073394495417E-2</v>
      </c>
      <c r="L42" s="433">
        <f t="shared" si="23"/>
        <v>5.2740434332988625E-2</v>
      </c>
      <c r="M42" s="433">
        <f t="shared" si="23"/>
        <v>8.1879194630872482E-2</v>
      </c>
      <c r="N42" s="433">
        <f t="shared" si="23"/>
        <v>8.9698668535388923E-2</v>
      </c>
      <c r="O42" s="433">
        <f t="shared" si="23"/>
        <v>4.2097998619737752E-2</v>
      </c>
      <c r="P42" s="433">
        <f t="shared" si="17"/>
        <v>4.1012216404886559E-2</v>
      </c>
      <c r="Q42" s="433">
        <f t="shared" si="22"/>
        <v>3.1830238726790451E-2</v>
      </c>
      <c r="R42" s="433">
        <f t="shared" si="19"/>
        <v>6.041222459132907E-2</v>
      </c>
      <c r="S42" s="433">
        <f t="shared" si="20"/>
        <v>2.6450511945392493E-2</v>
      </c>
    </row>
    <row r="43" spans="1:19" s="48" customFormat="1">
      <c r="A43" s="10"/>
      <c r="C43" s="2" t="s">
        <v>247</v>
      </c>
      <c r="D43" s="10"/>
      <c r="E43" s="39">
        <f t="shared" ref="E43:O43" si="24">E14/E$9</f>
        <v>5.0632911392405063E-2</v>
      </c>
      <c r="F43" s="39">
        <f t="shared" si="24"/>
        <v>0.10616229408175717</v>
      </c>
      <c r="G43" s="39">
        <f t="shared" si="24"/>
        <v>6.5239551478083593E-2</v>
      </c>
      <c r="H43" s="433">
        <f t="shared" si="24"/>
        <v>5.2023121387283239E-2</v>
      </c>
      <c r="I43" s="433">
        <f t="shared" si="24"/>
        <v>6.4011379800853488E-2</v>
      </c>
      <c r="J43" s="433">
        <f t="shared" si="24"/>
        <v>9.7623635195889527E-2</v>
      </c>
      <c r="K43" s="433">
        <f t="shared" si="24"/>
        <v>3.2874617737003058E-2</v>
      </c>
      <c r="L43" s="433">
        <f t="shared" si="24"/>
        <v>2.9989658738366079E-2</v>
      </c>
      <c r="M43" s="433">
        <f t="shared" si="24"/>
        <v>4.429530201342282E-2</v>
      </c>
      <c r="N43" s="433">
        <f t="shared" si="24"/>
        <v>6.4470918009810793E-2</v>
      </c>
      <c r="O43" s="433">
        <f t="shared" si="24"/>
        <v>2.0013802622498276E-2</v>
      </c>
      <c r="P43" s="433">
        <f t="shared" si="17"/>
        <v>2.0942408376963352E-2</v>
      </c>
      <c r="Q43" s="433">
        <f t="shared" si="22"/>
        <v>2.1220159151193633E-2</v>
      </c>
      <c r="R43" s="433">
        <f t="shared" si="19"/>
        <v>6.8230277185501065E-2</v>
      </c>
      <c r="S43" s="433">
        <f t="shared" si="20"/>
        <v>5.9726962457337888E-3</v>
      </c>
    </row>
    <row r="44" spans="1:19">
      <c r="A44" s="10"/>
      <c r="B44" s="10"/>
      <c r="C44" s="6" t="s">
        <v>47</v>
      </c>
      <c r="D44" s="10"/>
      <c r="E44" s="39">
        <f t="shared" ref="E44:E53" si="25">E15/E$9</f>
        <v>0.28129395218002812</v>
      </c>
      <c r="F44" s="39">
        <f t="shared" ref="F44:O44" si="26">F15/F$9</f>
        <v>0.11958511287370348</v>
      </c>
      <c r="G44" s="39">
        <f t="shared" si="26"/>
        <v>0.11926605504587157</v>
      </c>
      <c r="H44" s="433">
        <f t="shared" si="26"/>
        <v>0.11849710982658959</v>
      </c>
      <c r="I44" s="433">
        <f t="shared" si="26"/>
        <v>0.17354196301564723</v>
      </c>
      <c r="J44" s="433">
        <f t="shared" si="26"/>
        <v>0.170199100834939</v>
      </c>
      <c r="K44" s="433">
        <f t="shared" si="26"/>
        <v>0.10397553516819572</v>
      </c>
      <c r="L44" s="433">
        <f t="shared" si="26"/>
        <v>0.10237849017580145</v>
      </c>
      <c r="M44" s="433">
        <f t="shared" si="26"/>
        <v>0.15838926174496645</v>
      </c>
      <c r="N44" s="433">
        <f t="shared" si="26"/>
        <v>0.1913104414856342</v>
      </c>
      <c r="O44" s="433">
        <f t="shared" si="26"/>
        <v>9.7998619737750176E-2</v>
      </c>
      <c r="P44" s="433">
        <f t="shared" ref="P44" si="27">P15/P$9</f>
        <v>0.1012216404886562</v>
      </c>
      <c r="Q44" s="433">
        <f t="shared" si="22"/>
        <v>0.17639257294429708</v>
      </c>
      <c r="R44" s="433">
        <f t="shared" si="19"/>
        <v>0.18194740582800284</v>
      </c>
      <c r="S44" s="433">
        <f t="shared" si="20"/>
        <v>0.10580204778156997</v>
      </c>
    </row>
    <row r="45" spans="1:19">
      <c r="A45" s="10"/>
      <c r="B45" s="10"/>
      <c r="C45" s="6" t="s">
        <v>48</v>
      </c>
      <c r="D45" s="10"/>
      <c r="E45" s="39">
        <f t="shared" si="25"/>
        <v>0.19971870604781997</v>
      </c>
      <c r="F45" s="39">
        <f t="shared" ref="F45:O45" si="28">F16/F$9</f>
        <v>0.14887126296522268</v>
      </c>
      <c r="G45" s="39">
        <f t="shared" si="28"/>
        <v>8.4607543323139647E-2</v>
      </c>
      <c r="H45" s="433">
        <f t="shared" si="28"/>
        <v>0.11368015414258188</v>
      </c>
      <c r="I45" s="433">
        <f t="shared" si="28"/>
        <v>0.18207681365576103</v>
      </c>
      <c r="J45" s="433">
        <f t="shared" si="28"/>
        <v>0.13808606294155426</v>
      </c>
      <c r="K45" s="433">
        <f t="shared" si="28"/>
        <v>4.2813455657492352E-2</v>
      </c>
      <c r="L45" s="433">
        <f t="shared" si="28"/>
        <v>0.12926577042399173</v>
      </c>
      <c r="M45" s="433">
        <f t="shared" si="28"/>
        <v>0.1476510067114094</v>
      </c>
      <c r="N45" s="433">
        <f t="shared" si="28"/>
        <v>0.15767344078486334</v>
      </c>
      <c r="O45" s="433">
        <f t="shared" si="28"/>
        <v>4.1407867494824016E-2</v>
      </c>
      <c r="P45" s="433">
        <f t="shared" ref="P45" si="29">P16/P$9</f>
        <v>7.8534031413612565E-2</v>
      </c>
      <c r="Q45" s="433">
        <f t="shared" si="22"/>
        <v>0.15251989389920426</v>
      </c>
      <c r="R45" s="433">
        <f t="shared" si="22"/>
        <v>0.19971570717839374</v>
      </c>
      <c r="S45" s="433">
        <f t="shared" si="20"/>
        <v>6.7406143344709901E-2</v>
      </c>
    </row>
    <row r="46" spans="1:19">
      <c r="A46" s="10"/>
      <c r="B46" s="10"/>
      <c r="C46" s="6" t="s">
        <v>49</v>
      </c>
      <c r="D46" s="10"/>
      <c r="E46" s="39">
        <f t="shared" si="25"/>
        <v>0.13220815752461323</v>
      </c>
      <c r="F46" s="39">
        <f t="shared" ref="F46:O46" si="30">F17/F$9</f>
        <v>6.3453325198291638E-2</v>
      </c>
      <c r="G46" s="39">
        <f t="shared" si="30"/>
        <v>0.10499490316004077</v>
      </c>
      <c r="H46" s="433">
        <f t="shared" si="30"/>
        <v>8.8631984585741813E-2</v>
      </c>
      <c r="I46" s="433">
        <f t="shared" si="30"/>
        <v>0.15078236130867709</v>
      </c>
      <c r="J46" s="433">
        <f t="shared" si="30"/>
        <v>6.0372511239563262E-2</v>
      </c>
      <c r="K46" s="433">
        <f t="shared" si="30"/>
        <v>5.3516819571865444E-2</v>
      </c>
      <c r="L46" s="433">
        <f t="shared" si="30"/>
        <v>7.7559462254395042E-2</v>
      </c>
      <c r="M46" s="433">
        <f t="shared" si="30"/>
        <v>0.15167785234899328</v>
      </c>
      <c r="N46" s="433">
        <f t="shared" si="30"/>
        <v>8.5494043447792573E-2</v>
      </c>
      <c r="O46" s="433">
        <f t="shared" si="30"/>
        <v>7.0393374741200831E-2</v>
      </c>
      <c r="P46" s="433">
        <f t="shared" ref="P46" si="31">P17/P$9</f>
        <v>0.11082024432809773</v>
      </c>
      <c r="Q46" s="433">
        <f t="shared" si="22"/>
        <v>0.13793103448275862</v>
      </c>
      <c r="R46" s="433">
        <f t="shared" si="22"/>
        <v>8.6709310589907607E-2</v>
      </c>
      <c r="S46" s="433">
        <f t="shared" si="20"/>
        <v>8.7030716723549492E-2</v>
      </c>
    </row>
    <row r="47" spans="1:19">
      <c r="A47" s="10"/>
      <c r="B47" s="10"/>
      <c r="C47" s="6" t="s">
        <v>50</v>
      </c>
      <c r="D47" s="10"/>
      <c r="E47" s="39">
        <f t="shared" si="25"/>
        <v>8.5794655414908577E-2</v>
      </c>
      <c r="F47" s="42">
        <f t="shared" ref="F47:O47" si="32">F18/F$9</f>
        <v>1.9524100061012812E-2</v>
      </c>
      <c r="G47" s="39">
        <f t="shared" si="32"/>
        <v>1.5290519877675841E-2</v>
      </c>
      <c r="H47" s="434">
        <f t="shared" si="32"/>
        <v>1.4450867052023121E-2</v>
      </c>
      <c r="I47" s="434">
        <f t="shared" si="32"/>
        <v>-1.4224751066856331E-3</v>
      </c>
      <c r="J47" s="434">
        <f t="shared" si="32"/>
        <v>-3.8535645472061657E-3</v>
      </c>
      <c r="K47" s="434">
        <f t="shared" si="32"/>
        <v>0</v>
      </c>
      <c r="L47" s="434">
        <f t="shared" si="32"/>
        <v>0</v>
      </c>
      <c r="M47" s="434">
        <f t="shared" si="32"/>
        <v>0</v>
      </c>
      <c r="N47" s="434">
        <f t="shared" si="32"/>
        <v>0</v>
      </c>
      <c r="O47" s="434">
        <f t="shared" si="32"/>
        <v>1.3112491373360938E-2</v>
      </c>
      <c r="P47" s="434">
        <f t="shared" ref="P47" si="33">P18/P$9</f>
        <v>2.617801047120419E-3</v>
      </c>
      <c r="Q47" s="434">
        <f t="shared" si="22"/>
        <v>3.9787798408488064E-3</v>
      </c>
      <c r="R47" s="434">
        <f t="shared" si="22"/>
        <v>7.1073205401563609E-4</v>
      </c>
      <c r="S47" s="434">
        <f t="shared" si="20"/>
        <v>0</v>
      </c>
    </row>
    <row r="48" spans="1:19" ht="16.5">
      <c r="A48" s="10"/>
      <c r="B48" s="10"/>
      <c r="C48" s="6" t="s">
        <v>51</v>
      </c>
      <c r="D48" s="10"/>
      <c r="E48" s="40">
        <f t="shared" si="25"/>
        <v>0</v>
      </c>
      <c r="F48" s="40">
        <f t="shared" ref="F48:O48" si="34">F19/F$9</f>
        <v>0</v>
      </c>
      <c r="G48" s="40">
        <f t="shared" si="34"/>
        <v>0</v>
      </c>
      <c r="H48" s="435">
        <f t="shared" si="34"/>
        <v>0</v>
      </c>
      <c r="I48" s="435">
        <f t="shared" si="34"/>
        <v>0</v>
      </c>
      <c r="J48" s="435">
        <f t="shared" si="34"/>
        <v>0.26268464996788699</v>
      </c>
      <c r="K48" s="435">
        <f t="shared" si="34"/>
        <v>0</v>
      </c>
      <c r="L48" s="435">
        <f t="shared" si="34"/>
        <v>0</v>
      </c>
      <c r="M48" s="435">
        <f t="shared" si="34"/>
        <v>0</v>
      </c>
      <c r="N48" s="435">
        <f t="shared" si="34"/>
        <v>0.22845129642606868</v>
      </c>
      <c r="O48" s="435">
        <f t="shared" si="34"/>
        <v>0</v>
      </c>
      <c r="P48" s="435">
        <f t="shared" ref="P48" si="35">P19/P$9</f>
        <v>0</v>
      </c>
      <c r="Q48" s="435">
        <f t="shared" si="22"/>
        <v>0</v>
      </c>
      <c r="R48" s="435">
        <f t="shared" si="22"/>
        <v>0</v>
      </c>
      <c r="S48" s="435">
        <f t="shared" si="20"/>
        <v>0</v>
      </c>
    </row>
    <row r="49" spans="1:19" ht="16.5">
      <c r="A49" s="10"/>
      <c r="B49" s="10"/>
      <c r="C49" s="10"/>
      <c r="D49" s="10" t="s">
        <v>233</v>
      </c>
      <c r="E49" s="40">
        <f t="shared" si="25"/>
        <v>1.2728551336146272</v>
      </c>
      <c r="F49" s="40">
        <f t="shared" ref="F49:O49" si="36">F20/F$9</f>
        <v>1.0902989627821842</v>
      </c>
      <c r="G49" s="40">
        <f t="shared" si="36"/>
        <v>0.817533129459735</v>
      </c>
      <c r="H49" s="435">
        <f t="shared" si="36"/>
        <v>0.78998073217726394</v>
      </c>
      <c r="I49" s="435">
        <f t="shared" si="36"/>
        <v>0.98719772403982931</v>
      </c>
      <c r="J49" s="435">
        <f t="shared" si="36"/>
        <v>1.277456647398844</v>
      </c>
      <c r="K49" s="435">
        <f t="shared" si="36"/>
        <v>0.60932721712538229</v>
      </c>
      <c r="L49" s="435">
        <f t="shared" si="36"/>
        <v>0.68976215098241989</v>
      </c>
      <c r="M49" s="435">
        <f t="shared" si="36"/>
        <v>0.9261744966442953</v>
      </c>
      <c r="N49" s="435">
        <f t="shared" si="36"/>
        <v>1.2782060266292923</v>
      </c>
      <c r="O49" s="435">
        <f t="shared" si="36"/>
        <v>0.5348516218081435</v>
      </c>
      <c r="P49" s="435">
        <f t="shared" ref="P49" si="37">P20/P$9</f>
        <v>0.5924956369982548</v>
      </c>
      <c r="Q49" s="435">
        <f t="shared" si="22"/>
        <v>0.78514588859416445</v>
      </c>
      <c r="R49" s="435">
        <f t="shared" si="22"/>
        <v>0.98223169864960913</v>
      </c>
      <c r="S49" s="435">
        <f t="shared" si="20"/>
        <v>0.5622866894197952</v>
      </c>
    </row>
    <row r="50" spans="1:19">
      <c r="A50" s="11"/>
      <c r="B50" s="25" t="s">
        <v>1</v>
      </c>
      <c r="C50" s="3"/>
      <c r="D50" s="11"/>
      <c r="E50" s="38">
        <f t="shared" si="25"/>
        <v>-0.27285513361462727</v>
      </c>
      <c r="F50" s="38">
        <f t="shared" ref="F50:O50" si="38">F21/F$9</f>
        <v>-9.0298962782184258E-2</v>
      </c>
      <c r="G50" s="38">
        <f t="shared" si="38"/>
        <v>0.18246687054026503</v>
      </c>
      <c r="H50" s="436">
        <f t="shared" si="38"/>
        <v>0.21001926782273603</v>
      </c>
      <c r="I50" s="436">
        <f t="shared" si="38"/>
        <v>1.2802275960170697E-2</v>
      </c>
      <c r="J50" s="436">
        <f t="shared" si="38"/>
        <v>-0.2774566473988439</v>
      </c>
      <c r="K50" s="436">
        <f t="shared" si="38"/>
        <v>0.39067278287461776</v>
      </c>
      <c r="L50" s="436">
        <f t="shared" si="38"/>
        <v>0.31023784901758017</v>
      </c>
      <c r="M50" s="436">
        <f t="shared" si="38"/>
        <v>7.3825503355704702E-2</v>
      </c>
      <c r="N50" s="436">
        <f t="shared" si="38"/>
        <v>-0.27820602662929222</v>
      </c>
      <c r="O50" s="436">
        <f t="shared" si="38"/>
        <v>0.46514837819185645</v>
      </c>
      <c r="P50" s="436">
        <f>P21/P$9</f>
        <v>0.4075043630017452</v>
      </c>
      <c r="Q50" s="436">
        <f t="shared" si="22"/>
        <v>0.21485411140583555</v>
      </c>
      <c r="R50" s="436">
        <f t="shared" si="22"/>
        <v>1.7768301350390904E-2</v>
      </c>
      <c r="S50" s="436">
        <f t="shared" si="20"/>
        <v>0.4377133105802048</v>
      </c>
    </row>
    <row r="51" spans="1:19" ht="16.5">
      <c r="A51" s="12"/>
      <c r="B51" s="2" t="s">
        <v>279</v>
      </c>
      <c r="C51" s="12"/>
      <c r="D51" s="12"/>
      <c r="E51" s="40">
        <f t="shared" si="25"/>
        <v>3.3755274261603373E-2</v>
      </c>
      <c r="F51" s="40">
        <f t="shared" ref="F51:O51" si="39">F22/F$9</f>
        <v>1.0982306284319707E-2</v>
      </c>
      <c r="G51" s="40">
        <f t="shared" si="39"/>
        <v>1.0193679918450561E-2</v>
      </c>
      <c r="H51" s="435">
        <f t="shared" si="39"/>
        <v>0</v>
      </c>
      <c r="I51" s="435">
        <f t="shared" si="39"/>
        <v>1.5647226173541962E-2</v>
      </c>
      <c r="J51" s="435">
        <f t="shared" si="39"/>
        <v>-1.9267822736030828E-3</v>
      </c>
      <c r="K51" s="435">
        <f t="shared" si="39"/>
        <v>0</v>
      </c>
      <c r="L51" s="435">
        <f t="shared" si="39"/>
        <v>1.0341261633919339E-3</v>
      </c>
      <c r="M51" s="435">
        <f t="shared" si="39"/>
        <v>1.8791946308724831E-2</v>
      </c>
      <c r="N51" s="435">
        <f t="shared" si="39"/>
        <v>5.6061667834618077E-3</v>
      </c>
      <c r="O51" s="435">
        <f t="shared" si="39"/>
        <v>1.3802622498274672E-3</v>
      </c>
      <c r="P51" s="435">
        <f t="shared" ref="P51" si="40">P22/P$9</f>
        <v>1.7452006980802793E-3</v>
      </c>
      <c r="Q51" s="435">
        <f t="shared" si="22"/>
        <v>3.9787798408488064E-3</v>
      </c>
      <c r="R51" s="435">
        <f t="shared" si="22"/>
        <v>-3.5536602700781805E-3</v>
      </c>
      <c r="S51" s="435">
        <f t="shared" si="20"/>
        <v>8.5324232081911264E-4</v>
      </c>
    </row>
    <row r="52" spans="1:19">
      <c r="A52" s="12"/>
      <c r="B52" s="22" t="s">
        <v>52</v>
      </c>
      <c r="C52" s="4"/>
      <c r="D52" s="12"/>
      <c r="E52" s="39">
        <f t="shared" si="25"/>
        <v>-0.23909985935302391</v>
      </c>
      <c r="F52" s="39">
        <f t="shared" ref="F52:O52" si="41">F23/F$9</f>
        <v>-7.9316656497864554E-2</v>
      </c>
      <c r="G52" s="39">
        <f t="shared" si="41"/>
        <v>0.19266055045871561</v>
      </c>
      <c r="H52" s="433">
        <f t="shared" si="41"/>
        <v>0.21001926782273603</v>
      </c>
      <c r="I52" s="433">
        <f t="shared" si="41"/>
        <v>2.8449502133712661E-2</v>
      </c>
      <c r="J52" s="433">
        <f t="shared" si="41"/>
        <v>-0.279383429672447</v>
      </c>
      <c r="K52" s="433">
        <f t="shared" si="41"/>
        <v>0.39067278287461776</v>
      </c>
      <c r="L52" s="433">
        <f t="shared" si="41"/>
        <v>0.3112719751809721</v>
      </c>
      <c r="M52" s="433">
        <f t="shared" si="41"/>
        <v>9.261744966442953E-2</v>
      </c>
      <c r="N52" s="433">
        <f t="shared" si="41"/>
        <v>-0.27259985984583041</v>
      </c>
      <c r="O52" s="433">
        <f t="shared" si="41"/>
        <v>0.46652864044168391</v>
      </c>
      <c r="P52" s="433">
        <f t="shared" ref="P52" si="42">P23/P$9</f>
        <v>0.40924956369982546</v>
      </c>
      <c r="Q52" s="433">
        <f t="shared" si="22"/>
        <v>0.21883289124668434</v>
      </c>
      <c r="R52" s="433">
        <f t="shared" si="22"/>
        <v>1.4214641080312722E-2</v>
      </c>
      <c r="S52" s="433">
        <f t="shared" si="20"/>
        <v>0.43856655290102387</v>
      </c>
    </row>
    <row r="53" spans="1:19" ht="16.5">
      <c r="A53" s="12"/>
      <c r="B53" s="2" t="s">
        <v>53</v>
      </c>
      <c r="C53" s="4"/>
      <c r="D53" s="12"/>
      <c r="E53" s="40">
        <f t="shared" si="25"/>
        <v>-8.7201125175808719E-2</v>
      </c>
      <c r="F53" s="40">
        <f t="shared" ref="F53:O53" si="43">F24/F$9</f>
        <v>-3.5387431360585725E-2</v>
      </c>
      <c r="G53" s="40">
        <f t="shared" si="43"/>
        <v>0</v>
      </c>
      <c r="H53" s="435">
        <f t="shared" si="43"/>
        <v>2.2157996146435453E-2</v>
      </c>
      <c r="I53" s="435">
        <f t="shared" si="43"/>
        <v>7.1123755334281651E-3</v>
      </c>
      <c r="J53" s="435">
        <f t="shared" si="43"/>
        <v>-9.5696852922286454E-2</v>
      </c>
      <c r="K53" s="435">
        <f t="shared" si="43"/>
        <v>9.9388379204892963E-2</v>
      </c>
      <c r="L53" s="435">
        <f t="shared" si="43"/>
        <v>8.4798345398138575E-2</v>
      </c>
      <c r="M53" s="435">
        <f t="shared" si="43"/>
        <v>2.4161073825503355E-2</v>
      </c>
      <c r="N53" s="435">
        <f t="shared" si="43"/>
        <v>-0.10932025227750526</v>
      </c>
      <c r="O53" s="435">
        <f t="shared" si="43"/>
        <v>0.11939268461007592</v>
      </c>
      <c r="P53" s="435">
        <f t="shared" ref="P53" si="44">P24/P$9</f>
        <v>0.1169284467713787</v>
      </c>
      <c r="Q53" s="435">
        <f t="shared" si="22"/>
        <v>2.2546419098143235E-2</v>
      </c>
      <c r="R53" s="435">
        <f t="shared" si="22"/>
        <v>-5.614783226723525E-2</v>
      </c>
      <c r="S53" s="435">
        <f t="shared" si="20"/>
        <v>0.11092150170648464</v>
      </c>
    </row>
    <row r="54" spans="1:19" ht="16.5">
      <c r="A54" s="9"/>
      <c r="B54" s="25" t="s">
        <v>2</v>
      </c>
      <c r="C54" s="9"/>
      <c r="D54" s="9"/>
      <c r="E54" s="41">
        <f t="shared" ref="E54:O54" si="45">E25/E$9</f>
        <v>-0.15189873417721519</v>
      </c>
      <c r="F54" s="41">
        <f t="shared" si="45"/>
        <v>-4.3929225137278829E-2</v>
      </c>
      <c r="G54" s="41">
        <f t="shared" si="45"/>
        <v>0.19266055045871561</v>
      </c>
      <c r="H54" s="437">
        <f t="shared" si="45"/>
        <v>0.18786127167630057</v>
      </c>
      <c r="I54" s="437">
        <f t="shared" si="45"/>
        <v>2.1337126600284494E-2</v>
      </c>
      <c r="J54" s="437">
        <f t="shared" si="45"/>
        <v>-0.18368657675016056</v>
      </c>
      <c r="K54" s="437">
        <f t="shared" si="45"/>
        <v>0.29128440366972475</v>
      </c>
      <c r="L54" s="437">
        <f t="shared" si="45"/>
        <v>0.2264736297828335</v>
      </c>
      <c r="M54" s="437">
        <f t="shared" si="45"/>
        <v>6.8456375838926178E-2</v>
      </c>
      <c r="N54" s="437">
        <f t="shared" si="45"/>
        <v>-0.16327960756832516</v>
      </c>
      <c r="O54" s="437">
        <f t="shared" si="45"/>
        <v>0.347135955831608</v>
      </c>
      <c r="P54" s="437">
        <f t="shared" ref="P54" si="46">P25/P$9</f>
        <v>0.29232111692844676</v>
      </c>
      <c r="Q54" s="437">
        <f t="shared" si="22"/>
        <v>0.19628647214854111</v>
      </c>
      <c r="R54" s="437">
        <f t="shared" si="22"/>
        <v>7.0362473347547971E-2</v>
      </c>
      <c r="S54" s="437">
        <f t="shared" si="20"/>
        <v>0.32764505119453924</v>
      </c>
    </row>
    <row r="55" spans="1:19" ht="16.5">
      <c r="A55" s="9"/>
      <c r="B55" s="25"/>
      <c r="C55" s="9"/>
      <c r="D55" s="9"/>
      <c r="E55" s="41"/>
      <c r="F55" s="41"/>
      <c r="G55" s="41"/>
      <c r="H55" s="437"/>
      <c r="I55" s="437"/>
      <c r="J55" s="437"/>
      <c r="K55" s="437"/>
      <c r="L55" s="437"/>
      <c r="M55" s="437"/>
      <c r="N55" s="437"/>
      <c r="O55" s="437"/>
      <c r="P55" s="437"/>
      <c r="Q55" s="437"/>
      <c r="R55" s="437"/>
      <c r="S55" s="437"/>
    </row>
    <row r="56" spans="1:19" ht="16.5">
      <c r="A56" s="9"/>
      <c r="B56" s="555" t="s">
        <v>271</v>
      </c>
      <c r="C56" s="9"/>
      <c r="D56" s="9"/>
      <c r="E56" s="41"/>
      <c r="F56" s="41"/>
      <c r="G56" s="41"/>
      <c r="H56" s="437"/>
      <c r="I56" s="437"/>
      <c r="J56" s="437"/>
      <c r="K56" s="437"/>
      <c r="L56" s="437"/>
      <c r="M56" s="437"/>
      <c r="N56" s="437"/>
      <c r="O56" s="437"/>
      <c r="P56" s="437"/>
      <c r="Q56" s="437"/>
      <c r="R56" s="437"/>
      <c r="S56" s="437"/>
    </row>
    <row r="57" spans="1:19">
      <c r="A57" s="20" t="s">
        <v>29</v>
      </c>
      <c r="B57" s="23"/>
      <c r="C57" s="24"/>
      <c r="D57" s="23"/>
      <c r="Q57" s="414"/>
      <c r="R57" s="414"/>
      <c r="S57" s="414"/>
    </row>
    <row r="58" spans="1:19" ht="14.25" customHeight="1">
      <c r="A58" s="23"/>
      <c r="B58" s="24"/>
      <c r="C58" s="24"/>
      <c r="D58" s="23"/>
      <c r="E58" s="19" t="s">
        <v>250</v>
      </c>
      <c r="F58" s="19" t="str">
        <f t="shared" ref="F58:P58" si="47">F6</f>
        <v>Q4</v>
      </c>
      <c r="G58" s="19" t="str">
        <f t="shared" si="47"/>
        <v>Q1</v>
      </c>
      <c r="H58" s="415" t="str">
        <f t="shared" si="47"/>
        <v>Q2</v>
      </c>
      <c r="I58" s="415" t="str">
        <f t="shared" si="47"/>
        <v>Q3</v>
      </c>
      <c r="J58" s="415" t="str">
        <f t="shared" si="47"/>
        <v>Q4</v>
      </c>
      <c r="K58" s="415" t="str">
        <f t="shared" si="47"/>
        <v>Q1</v>
      </c>
      <c r="L58" s="415" t="str">
        <f t="shared" si="47"/>
        <v>Q2</v>
      </c>
      <c r="M58" s="415" t="str">
        <f t="shared" si="47"/>
        <v>Q3</v>
      </c>
      <c r="N58" s="415" t="str">
        <f t="shared" si="47"/>
        <v>Q4</v>
      </c>
      <c r="O58" s="415" t="str">
        <f t="shared" si="47"/>
        <v>Q1</v>
      </c>
      <c r="P58" s="415" t="str">
        <f t="shared" si="47"/>
        <v>Q2</v>
      </c>
      <c r="Q58" s="415" t="str">
        <f t="shared" ref="Q58:R58" si="48">Q6</f>
        <v>Q3</v>
      </c>
      <c r="R58" s="415" t="str">
        <f t="shared" si="48"/>
        <v>Q4</v>
      </c>
      <c r="S58" s="415" t="str">
        <f t="shared" ref="S58" si="49">S6</f>
        <v>Q1</v>
      </c>
    </row>
    <row r="59" spans="1:19">
      <c r="A59" s="23"/>
      <c r="B59" s="26"/>
      <c r="C59" s="26"/>
      <c r="D59" s="23"/>
      <c r="E59" s="45" t="s">
        <v>43</v>
      </c>
      <c r="F59" s="45" t="str">
        <f t="shared" ref="F59:P59" si="50">F7</f>
        <v>CY08</v>
      </c>
      <c r="G59" s="45" t="str">
        <f t="shared" si="50"/>
        <v>CY09</v>
      </c>
      <c r="H59" s="416" t="str">
        <f t="shared" si="50"/>
        <v>CY09</v>
      </c>
      <c r="I59" s="416" t="str">
        <f t="shared" si="50"/>
        <v>CY09</v>
      </c>
      <c r="J59" s="416" t="str">
        <f t="shared" si="50"/>
        <v>CY09</v>
      </c>
      <c r="K59" s="416" t="str">
        <f t="shared" si="50"/>
        <v>CY10</v>
      </c>
      <c r="L59" s="416" t="str">
        <f t="shared" si="50"/>
        <v>CY10</v>
      </c>
      <c r="M59" s="416" t="str">
        <f t="shared" si="50"/>
        <v>CY10</v>
      </c>
      <c r="N59" s="416" t="str">
        <f t="shared" si="50"/>
        <v>CY10</v>
      </c>
      <c r="O59" s="416" t="str">
        <f t="shared" si="50"/>
        <v>CY11</v>
      </c>
      <c r="P59" s="416" t="str">
        <f t="shared" si="50"/>
        <v>CY11</v>
      </c>
      <c r="Q59" s="416" t="str">
        <f>Q7</f>
        <v>CY11</v>
      </c>
      <c r="R59" s="416" t="str">
        <f>R7</f>
        <v>CY11</v>
      </c>
      <c r="S59" s="416" t="str">
        <f>S7</f>
        <v>CY12</v>
      </c>
    </row>
    <row r="60" spans="1:19" ht="7.5" customHeight="1">
      <c r="A60" s="21"/>
      <c r="B60" s="21"/>
      <c r="C60" s="21"/>
      <c r="D60" s="21"/>
      <c r="P60" s="438"/>
      <c r="Q60" s="438"/>
      <c r="R60" s="438"/>
      <c r="S60" s="438"/>
    </row>
    <row r="61" spans="1:19">
      <c r="A61" s="8"/>
      <c r="B61" s="1" t="s">
        <v>235</v>
      </c>
      <c r="C61" s="9"/>
      <c r="D61" s="8"/>
      <c r="E61" s="13">
        <v>717</v>
      </c>
      <c r="F61" s="13">
        <v>2343</v>
      </c>
      <c r="G61" s="13">
        <v>724</v>
      </c>
      <c r="H61" s="417">
        <v>801</v>
      </c>
      <c r="I61" s="417">
        <v>755</v>
      </c>
      <c r="J61" s="417">
        <v>2495</v>
      </c>
      <c r="K61" s="417">
        <v>714</v>
      </c>
      <c r="L61" s="417">
        <v>683</v>
      </c>
      <c r="M61" s="417">
        <v>857</v>
      </c>
      <c r="N61" s="417">
        <v>2548</v>
      </c>
      <c r="O61" s="417">
        <v>755</v>
      </c>
      <c r="P61" s="417">
        <v>699</v>
      </c>
      <c r="Q61" s="417">
        <v>627</v>
      </c>
      <c r="R61" s="417">
        <v>2408</v>
      </c>
      <c r="S61" s="417">
        <v>587</v>
      </c>
    </row>
    <row r="62" spans="1:19">
      <c r="A62" s="8"/>
      <c r="B62" s="1" t="s">
        <v>234</v>
      </c>
      <c r="C62" s="9"/>
      <c r="D62" s="8"/>
      <c r="E62" s="13"/>
      <c r="F62" s="13"/>
      <c r="G62" s="13"/>
      <c r="H62" s="417"/>
      <c r="I62" s="417"/>
      <c r="J62" s="417"/>
      <c r="K62" s="417"/>
      <c r="L62" s="417"/>
      <c r="M62" s="417"/>
      <c r="N62" s="417"/>
      <c r="O62" s="417"/>
      <c r="P62" s="417"/>
      <c r="Q62" s="417"/>
      <c r="R62" s="417"/>
      <c r="S62" s="417"/>
    </row>
    <row r="63" spans="1:19" s="48" customFormat="1">
      <c r="A63" s="10"/>
      <c r="C63" s="2" t="s">
        <v>248</v>
      </c>
      <c r="D63" s="10"/>
      <c r="E63" s="47">
        <v>270</v>
      </c>
      <c r="F63" s="47">
        <v>933</v>
      </c>
      <c r="G63" s="47">
        <v>238</v>
      </c>
      <c r="H63" s="418">
        <v>237</v>
      </c>
      <c r="I63" s="418">
        <v>204</v>
      </c>
      <c r="J63" s="418">
        <v>863</v>
      </c>
      <c r="K63" s="418">
        <v>203</v>
      </c>
      <c r="L63" s="418">
        <v>166</v>
      </c>
      <c r="M63" s="418">
        <v>196</v>
      </c>
      <c r="N63" s="418">
        <v>783</v>
      </c>
      <c r="O63" s="418">
        <v>167</v>
      </c>
      <c r="P63" s="418">
        <v>135</v>
      </c>
      <c r="Q63" s="418">
        <v>128</v>
      </c>
      <c r="R63" s="418">
        <v>690</v>
      </c>
      <c r="S63" s="418">
        <v>138</v>
      </c>
    </row>
    <row r="64" spans="1:19" s="48" customFormat="1">
      <c r="A64" s="10"/>
      <c r="C64" s="2" t="s">
        <v>284</v>
      </c>
      <c r="D64" s="10"/>
      <c r="E64" s="47">
        <v>43</v>
      </c>
      <c r="F64" s="47">
        <v>53</v>
      </c>
      <c r="G64" s="47">
        <v>52</v>
      </c>
      <c r="H64" s="418">
        <v>51</v>
      </c>
      <c r="I64" s="418">
        <v>55</v>
      </c>
      <c r="J64" s="418">
        <v>54</v>
      </c>
      <c r="K64" s="418">
        <v>56</v>
      </c>
      <c r="L64" s="418">
        <v>53</v>
      </c>
      <c r="M64" s="418">
        <v>61</v>
      </c>
      <c r="N64" s="418">
        <v>73</v>
      </c>
      <c r="O64" s="418">
        <v>63</v>
      </c>
      <c r="P64" s="418">
        <v>59</v>
      </c>
      <c r="Q64" s="418">
        <v>59</v>
      </c>
      <c r="R64" s="418">
        <v>58</v>
      </c>
      <c r="S64" s="418">
        <v>59</v>
      </c>
    </row>
    <row r="65" spans="1:20" s="48" customFormat="1">
      <c r="A65" s="10"/>
      <c r="C65" s="2" t="s">
        <v>246</v>
      </c>
      <c r="D65" s="10"/>
      <c r="E65" s="47">
        <v>25</v>
      </c>
      <c r="F65" s="47">
        <v>165</v>
      </c>
      <c r="G65" s="47">
        <v>28</v>
      </c>
      <c r="H65" s="418">
        <v>36</v>
      </c>
      <c r="I65" s="418">
        <v>74</v>
      </c>
      <c r="J65" s="418">
        <v>107</v>
      </c>
      <c r="K65" s="418">
        <v>29</v>
      </c>
      <c r="L65" s="418">
        <v>52</v>
      </c>
      <c r="M65" s="418">
        <v>53</v>
      </c>
      <c r="N65" s="418">
        <v>153</v>
      </c>
      <c r="O65" s="418">
        <v>15</v>
      </c>
      <c r="P65" s="418">
        <v>12</v>
      </c>
      <c r="Q65" s="418">
        <v>14</v>
      </c>
      <c r="R65" s="418">
        <v>119</v>
      </c>
      <c r="S65" s="418">
        <v>10</v>
      </c>
    </row>
    <row r="66" spans="1:20" s="48" customFormat="1">
      <c r="A66" s="10"/>
      <c r="C66" s="2" t="s">
        <v>247</v>
      </c>
      <c r="D66" s="10"/>
      <c r="E66" s="47">
        <v>14</v>
      </c>
      <c r="F66" s="47">
        <v>75</v>
      </c>
      <c r="G66" s="47">
        <v>28</v>
      </c>
      <c r="H66" s="418">
        <v>28</v>
      </c>
      <c r="I66" s="418">
        <v>26</v>
      </c>
      <c r="J66" s="418">
        <v>44</v>
      </c>
      <c r="K66" s="418">
        <v>17</v>
      </c>
      <c r="L66" s="418">
        <v>18</v>
      </c>
      <c r="M66" s="418">
        <v>25</v>
      </c>
      <c r="N66" s="418">
        <v>40</v>
      </c>
      <c r="O66" s="418">
        <v>7</v>
      </c>
      <c r="P66" s="418">
        <v>12</v>
      </c>
      <c r="Q66" s="418">
        <v>7</v>
      </c>
      <c r="R66" s="418">
        <v>45</v>
      </c>
      <c r="S66" s="418">
        <v>3</v>
      </c>
    </row>
    <row r="67" spans="1:20">
      <c r="A67" s="10"/>
      <c r="B67" s="10"/>
      <c r="C67" s="6" t="s">
        <v>47</v>
      </c>
      <c r="D67" s="10"/>
      <c r="E67" s="15">
        <v>102</v>
      </c>
      <c r="F67" s="15">
        <v>176</v>
      </c>
      <c r="G67" s="15">
        <v>111</v>
      </c>
      <c r="H67" s="419">
        <v>116</v>
      </c>
      <c r="I67" s="419">
        <v>111</v>
      </c>
      <c r="J67" s="419">
        <v>253</v>
      </c>
      <c r="K67" s="419">
        <v>132</v>
      </c>
      <c r="L67" s="419">
        <v>105</v>
      </c>
      <c r="M67" s="419">
        <f>113-1</f>
        <v>112</v>
      </c>
      <c r="N67" s="419">
        <f>267-2</f>
        <v>265</v>
      </c>
      <c r="O67" s="419">
        <v>136</v>
      </c>
      <c r="P67" s="419">
        <v>111</v>
      </c>
      <c r="Q67" s="419">
        <v>128</v>
      </c>
      <c r="R67" s="419">
        <v>231</v>
      </c>
      <c r="S67" s="419">
        <v>120</v>
      </c>
    </row>
    <row r="68" spans="1:20">
      <c r="A68" s="10"/>
      <c r="B68" s="10"/>
      <c r="C68" s="6" t="s">
        <v>48</v>
      </c>
      <c r="D68" s="10"/>
      <c r="E68" s="15">
        <v>91</v>
      </c>
      <c r="F68" s="15">
        <v>233</v>
      </c>
      <c r="G68" s="15">
        <v>78</v>
      </c>
      <c r="H68" s="419">
        <v>114</v>
      </c>
      <c r="I68" s="419">
        <v>131</v>
      </c>
      <c r="J68" s="419">
        <v>216</v>
      </c>
      <c r="K68" s="419">
        <v>54</v>
      </c>
      <c r="L68" s="419">
        <v>123</v>
      </c>
      <c r="M68" s="419">
        <f>109-1</f>
        <v>108</v>
      </c>
      <c r="N68" s="419">
        <f>224-1</f>
        <v>223</v>
      </c>
      <c r="O68" s="419">
        <f>63-4</f>
        <v>59</v>
      </c>
      <c r="P68" s="419">
        <v>92</v>
      </c>
      <c r="Q68" s="419">
        <v>113</v>
      </c>
      <c r="R68" s="419">
        <v>279</v>
      </c>
      <c r="S68" s="419">
        <v>77</v>
      </c>
    </row>
    <row r="69" spans="1:20" ht="16.5">
      <c r="A69" s="10"/>
      <c r="B69" s="10"/>
      <c r="C69" s="6" t="s">
        <v>49</v>
      </c>
      <c r="D69" s="10"/>
      <c r="E69" s="16">
        <v>50</v>
      </c>
      <c r="F69" s="16">
        <v>64</v>
      </c>
      <c r="G69" s="16">
        <v>70</v>
      </c>
      <c r="H69" s="420">
        <v>63</v>
      </c>
      <c r="I69" s="420">
        <v>79</v>
      </c>
      <c r="J69" s="420">
        <v>74</v>
      </c>
      <c r="K69" s="420">
        <v>58</v>
      </c>
      <c r="L69" s="420">
        <v>65</v>
      </c>
      <c r="M69" s="420">
        <f>96+2</f>
        <v>98</v>
      </c>
      <c r="N69" s="420">
        <f>107+3</f>
        <v>110</v>
      </c>
      <c r="O69" s="420">
        <f>86+4</f>
        <v>90</v>
      </c>
      <c r="P69" s="420">
        <v>113</v>
      </c>
      <c r="Q69" s="420">
        <v>93</v>
      </c>
      <c r="R69" s="420">
        <v>96</v>
      </c>
      <c r="S69" s="420">
        <v>90</v>
      </c>
    </row>
    <row r="70" spans="1:20" ht="16.5">
      <c r="A70" s="10"/>
      <c r="B70" s="10"/>
      <c r="C70" s="10"/>
      <c r="D70" s="10" t="s">
        <v>233</v>
      </c>
      <c r="E70" s="16">
        <f t="shared" ref="E70:O70" si="51">SUM(E63:E69)</f>
        <v>595</v>
      </c>
      <c r="F70" s="16">
        <f t="shared" si="51"/>
        <v>1699</v>
      </c>
      <c r="G70" s="16">
        <f t="shared" si="51"/>
        <v>605</v>
      </c>
      <c r="H70" s="420">
        <f t="shared" si="51"/>
        <v>645</v>
      </c>
      <c r="I70" s="420">
        <f t="shared" si="51"/>
        <v>680</v>
      </c>
      <c r="J70" s="420">
        <f t="shared" si="51"/>
        <v>1611</v>
      </c>
      <c r="K70" s="420">
        <f t="shared" si="51"/>
        <v>549</v>
      </c>
      <c r="L70" s="420">
        <f>SUM(L63:L69)</f>
        <v>582</v>
      </c>
      <c r="M70" s="420">
        <f t="shared" si="51"/>
        <v>653</v>
      </c>
      <c r="N70" s="420">
        <f t="shared" si="51"/>
        <v>1647</v>
      </c>
      <c r="O70" s="420">
        <f t="shared" si="51"/>
        <v>537</v>
      </c>
      <c r="P70" s="420">
        <f t="shared" ref="P70:Q70" si="52">SUM(P63:P69)</f>
        <v>534</v>
      </c>
      <c r="Q70" s="420">
        <f t="shared" si="52"/>
        <v>542</v>
      </c>
      <c r="R70" s="420">
        <f t="shared" ref="R70:S70" si="53">SUM(R63:R69)</f>
        <v>1518</v>
      </c>
      <c r="S70" s="420">
        <f t="shared" si="53"/>
        <v>497</v>
      </c>
    </row>
    <row r="71" spans="1:20">
      <c r="A71" s="11"/>
      <c r="B71" s="25" t="s">
        <v>1</v>
      </c>
      <c r="C71" s="3"/>
      <c r="D71" s="11"/>
      <c r="E71" s="14">
        <f t="shared" ref="E71:O71" si="54">+E61-E70</f>
        <v>122</v>
      </c>
      <c r="F71" s="14">
        <f t="shared" si="54"/>
        <v>644</v>
      </c>
      <c r="G71" s="14">
        <f t="shared" si="54"/>
        <v>119</v>
      </c>
      <c r="H71" s="421">
        <f t="shared" si="54"/>
        <v>156</v>
      </c>
      <c r="I71" s="421">
        <f t="shared" si="54"/>
        <v>75</v>
      </c>
      <c r="J71" s="421">
        <f t="shared" si="54"/>
        <v>884</v>
      </c>
      <c r="K71" s="421">
        <f t="shared" si="54"/>
        <v>165</v>
      </c>
      <c r="L71" s="421">
        <f t="shared" si="54"/>
        <v>101</v>
      </c>
      <c r="M71" s="421">
        <f t="shared" si="54"/>
        <v>204</v>
      </c>
      <c r="N71" s="421">
        <f t="shared" si="54"/>
        <v>901</v>
      </c>
      <c r="O71" s="421">
        <f t="shared" si="54"/>
        <v>218</v>
      </c>
      <c r="P71" s="421">
        <f>+P61-P70</f>
        <v>165</v>
      </c>
      <c r="Q71" s="421">
        <f>+Q61-Q70</f>
        <v>85</v>
      </c>
      <c r="R71" s="421">
        <f>+R61-R70</f>
        <v>890</v>
      </c>
      <c r="S71" s="421">
        <f>+S61-S70</f>
        <v>90</v>
      </c>
    </row>
    <row r="72" spans="1:20" s="52" customFormat="1" ht="16.5">
      <c r="A72" s="49"/>
      <c r="B72" s="50" t="s">
        <v>279</v>
      </c>
      <c r="C72" s="49"/>
      <c r="D72" s="49"/>
      <c r="E72" s="51">
        <v>24</v>
      </c>
      <c r="F72" s="51">
        <v>18</v>
      </c>
      <c r="G72" s="51">
        <v>10</v>
      </c>
      <c r="H72" s="420">
        <v>0</v>
      </c>
      <c r="I72" s="420">
        <v>3</v>
      </c>
      <c r="J72" s="420">
        <v>-3</v>
      </c>
      <c r="K72" s="420">
        <v>0</v>
      </c>
      <c r="L72" s="420">
        <v>1</v>
      </c>
      <c r="M72" s="420">
        <v>14</v>
      </c>
      <c r="N72" s="420">
        <v>8</v>
      </c>
      <c r="O72" s="420">
        <v>2</v>
      </c>
      <c r="P72" s="420">
        <v>2</v>
      </c>
      <c r="Q72" s="420">
        <v>3</v>
      </c>
      <c r="R72" s="420">
        <v>-5</v>
      </c>
      <c r="S72" s="420">
        <v>1</v>
      </c>
    </row>
    <row r="73" spans="1:20" s="52" customFormat="1">
      <c r="A73" s="49"/>
      <c r="B73" s="53" t="s">
        <v>52</v>
      </c>
      <c r="C73" s="54"/>
      <c r="D73" s="49"/>
      <c r="E73" s="55">
        <f>SUM(E71:E72)</f>
        <v>146</v>
      </c>
      <c r="F73" s="55">
        <f t="shared" ref="F73" si="55">SUM(F71:F72)</f>
        <v>662</v>
      </c>
      <c r="G73" s="55">
        <f t="shared" ref="G73" si="56">SUM(G71:G72)</f>
        <v>129</v>
      </c>
      <c r="H73" s="419">
        <f t="shared" ref="H73" si="57">SUM(H71:H72)</f>
        <v>156</v>
      </c>
      <c r="I73" s="419">
        <f t="shared" ref="I73" si="58">SUM(I71:I72)</f>
        <v>78</v>
      </c>
      <c r="J73" s="419">
        <f t="shared" ref="J73" si="59">SUM(J71:J72)</f>
        <v>881</v>
      </c>
      <c r="K73" s="419">
        <f t="shared" ref="K73" si="60">SUM(K71:K72)</f>
        <v>165</v>
      </c>
      <c r="L73" s="419">
        <f t="shared" ref="L73" si="61">SUM(L71:L72)</f>
        <v>102</v>
      </c>
      <c r="M73" s="419">
        <f t="shared" ref="M73" si="62">SUM(M71:M72)</f>
        <v>218</v>
      </c>
      <c r="N73" s="419">
        <f t="shared" ref="N73" si="63">SUM(N71:N72)</f>
        <v>909</v>
      </c>
      <c r="O73" s="419">
        <f t="shared" ref="O73:P73" si="64">SUM(O71:O72)</f>
        <v>220</v>
      </c>
      <c r="P73" s="419">
        <f t="shared" si="64"/>
        <v>167</v>
      </c>
      <c r="Q73" s="419">
        <f t="shared" ref="Q73:R73" si="65">SUM(Q71:Q72)</f>
        <v>88</v>
      </c>
      <c r="R73" s="419">
        <f t="shared" si="65"/>
        <v>885</v>
      </c>
      <c r="S73" s="419">
        <f t="shared" ref="S73" si="66">SUM(S71:S72)</f>
        <v>91</v>
      </c>
    </row>
    <row r="74" spans="1:20" s="52" customFormat="1" ht="16.5">
      <c r="A74" s="49"/>
      <c r="B74" s="50" t="s">
        <v>53</v>
      </c>
      <c r="C74" s="54"/>
      <c r="D74" s="49"/>
      <c r="E74" s="51">
        <v>54</v>
      </c>
      <c r="F74" s="51">
        <v>233</v>
      </c>
      <c r="G74" s="51">
        <v>18</v>
      </c>
      <c r="H74" s="420">
        <v>44</v>
      </c>
      <c r="I74" s="420">
        <f>31-8</f>
        <v>23</v>
      </c>
      <c r="J74" s="420">
        <v>249</v>
      </c>
      <c r="K74" s="420">
        <v>49</v>
      </c>
      <c r="L74" s="420">
        <v>30</v>
      </c>
      <c r="M74" s="420">
        <f>70</f>
        <v>70</v>
      </c>
      <c r="N74" s="420">
        <f>254</f>
        <v>254</v>
      </c>
      <c r="O74" s="420">
        <v>64</v>
      </c>
      <c r="P74" s="420">
        <v>49</v>
      </c>
      <c r="Q74" s="420">
        <v>1</v>
      </c>
      <c r="R74" s="420">
        <v>160</v>
      </c>
      <c r="S74" s="420">
        <v>24</v>
      </c>
    </row>
    <row r="75" spans="1:20" s="52" customFormat="1" ht="16.5">
      <c r="A75" s="56"/>
      <c r="B75" s="57" t="s">
        <v>2</v>
      </c>
      <c r="C75" s="56"/>
      <c r="D75" s="56"/>
      <c r="E75" s="58">
        <f>E73-E74</f>
        <v>92</v>
      </c>
      <c r="F75" s="58">
        <f t="shared" ref="F75" si="67">F73-F74</f>
        <v>429</v>
      </c>
      <c r="G75" s="58">
        <f t="shared" ref="G75" si="68">G73-G74</f>
        <v>111</v>
      </c>
      <c r="H75" s="422">
        <f t="shared" ref="H75" si="69">H73-H74</f>
        <v>112</v>
      </c>
      <c r="I75" s="422">
        <f t="shared" ref="I75" si="70">I73-I74</f>
        <v>55</v>
      </c>
      <c r="J75" s="422">
        <f t="shared" ref="J75" si="71">J73-J74</f>
        <v>632</v>
      </c>
      <c r="K75" s="422">
        <f t="shared" ref="K75" si="72">K73-K74</f>
        <v>116</v>
      </c>
      <c r="L75" s="422">
        <f t="shared" ref="L75" si="73">L73-L74</f>
        <v>72</v>
      </c>
      <c r="M75" s="422">
        <f t="shared" ref="M75" si="74">M73-M74</f>
        <v>148</v>
      </c>
      <c r="N75" s="422">
        <f t="shared" ref="N75" si="75">N73-N74</f>
        <v>655</v>
      </c>
      <c r="O75" s="422">
        <f t="shared" ref="O75:P75" si="76">O73-O74</f>
        <v>156</v>
      </c>
      <c r="P75" s="422">
        <f t="shared" si="76"/>
        <v>118</v>
      </c>
      <c r="Q75" s="422">
        <f t="shared" ref="Q75" si="77">Q73-Q74</f>
        <v>87</v>
      </c>
      <c r="R75" s="422">
        <f>R73-R74</f>
        <v>725</v>
      </c>
      <c r="S75" s="422">
        <f>S73-S74</f>
        <v>67</v>
      </c>
    </row>
    <row r="76" spans="1:20" ht="20.25" customHeight="1">
      <c r="A76" s="9"/>
      <c r="B76" s="25"/>
      <c r="C76" s="9"/>
      <c r="D76" s="9"/>
      <c r="E76" s="17"/>
      <c r="F76" s="17"/>
      <c r="G76" s="17"/>
      <c r="H76" s="422"/>
      <c r="I76" s="540"/>
      <c r="J76" s="422"/>
      <c r="K76" s="422"/>
      <c r="L76" s="422"/>
      <c r="M76" s="545"/>
      <c r="N76" s="422"/>
      <c r="O76" s="422"/>
      <c r="P76" s="422"/>
      <c r="Q76" s="545"/>
      <c r="R76" s="545"/>
      <c r="S76" s="545"/>
    </row>
    <row r="77" spans="1:20">
      <c r="A77" s="32"/>
      <c r="B77" s="29" t="s">
        <v>175</v>
      </c>
      <c r="C77" s="29"/>
      <c r="D77" s="29"/>
      <c r="E77" s="33"/>
      <c r="F77" s="33"/>
      <c r="G77" s="33"/>
      <c r="H77" s="423"/>
      <c r="I77" s="423"/>
      <c r="J77" s="423"/>
      <c r="K77" s="423"/>
      <c r="L77" s="423"/>
      <c r="M77" s="423"/>
      <c r="N77" s="423"/>
      <c r="O77" s="423"/>
      <c r="P77" s="423"/>
      <c r="Q77" s="423"/>
      <c r="R77" s="423"/>
      <c r="S77" s="423"/>
    </row>
    <row r="78" spans="1:20">
      <c r="A78" s="32"/>
      <c r="B78" s="29"/>
      <c r="C78" s="28" t="s">
        <v>34</v>
      </c>
      <c r="D78" s="29"/>
      <c r="E78" s="35">
        <v>7.0000000000000007E-2</v>
      </c>
      <c r="F78" s="35">
        <v>0.32</v>
      </c>
      <c r="G78" s="35">
        <v>0.08</v>
      </c>
      <c r="H78" s="424">
        <v>0.09</v>
      </c>
      <c r="I78" s="424">
        <v>0.04</v>
      </c>
      <c r="J78" s="424">
        <v>0.5</v>
      </c>
      <c r="K78" s="424">
        <v>0.09</v>
      </c>
      <c r="L78" s="424">
        <v>0.06</v>
      </c>
      <c r="M78" s="424">
        <v>0.12</v>
      </c>
      <c r="N78" s="424">
        <v>0.54</v>
      </c>
      <c r="O78" s="424">
        <v>0.13</v>
      </c>
      <c r="P78" s="425">
        <v>0.1</v>
      </c>
      <c r="Q78" s="425">
        <v>7.0000000000000007E-2</v>
      </c>
      <c r="R78" s="425">
        <v>0.63</v>
      </c>
      <c r="S78" s="425">
        <v>0.06</v>
      </c>
      <c r="T78" s="526"/>
    </row>
    <row r="79" spans="1:20">
      <c r="A79" s="32"/>
      <c r="B79" s="29"/>
      <c r="C79" s="28" t="s">
        <v>35</v>
      </c>
      <c r="D79" s="29"/>
      <c r="E79" s="35">
        <v>7.0000000000000007E-2</v>
      </c>
      <c r="F79" s="35">
        <v>0.31</v>
      </c>
      <c r="G79" s="35">
        <v>0.08</v>
      </c>
      <c r="H79" s="424">
        <v>0.08</v>
      </c>
      <c r="I79" s="424">
        <v>0.04</v>
      </c>
      <c r="J79" s="424">
        <v>0.49</v>
      </c>
      <c r="K79" s="424">
        <v>0.09</v>
      </c>
      <c r="L79" s="424">
        <v>0.06</v>
      </c>
      <c r="M79" s="424">
        <v>0.12</v>
      </c>
      <c r="N79" s="424">
        <v>0.53</v>
      </c>
      <c r="O79" s="424">
        <v>0.13</v>
      </c>
      <c r="P79" s="425">
        <v>0.1</v>
      </c>
      <c r="Q79" s="425">
        <v>7.0000000000000007E-2</v>
      </c>
      <c r="R79" s="425">
        <v>0.62</v>
      </c>
      <c r="S79" s="425">
        <v>0.06</v>
      </c>
      <c r="T79" s="526"/>
    </row>
    <row r="80" spans="1:20">
      <c r="A80" s="32"/>
      <c r="B80" s="29"/>
      <c r="C80" s="18"/>
      <c r="D80" s="29"/>
      <c r="E80" s="34"/>
      <c r="F80" s="34"/>
      <c r="G80" s="410"/>
      <c r="H80" s="424"/>
      <c r="I80" s="430"/>
      <c r="J80" s="430"/>
      <c r="K80" s="430"/>
      <c r="L80" s="424"/>
      <c r="M80" s="430"/>
      <c r="N80" s="430"/>
      <c r="O80" s="430"/>
      <c r="P80" s="425"/>
      <c r="Q80" s="425"/>
      <c r="R80" s="425"/>
      <c r="S80" s="425"/>
    </row>
    <row r="81" spans="1:19">
      <c r="A81" s="20" t="s">
        <v>173</v>
      </c>
      <c r="B81" s="29"/>
      <c r="C81" s="18"/>
      <c r="D81" s="29"/>
      <c r="E81" s="34"/>
      <c r="F81" s="34"/>
      <c r="G81" s="18"/>
      <c r="H81" s="430"/>
      <c r="I81" s="430"/>
      <c r="J81" s="430"/>
      <c r="K81" s="430"/>
      <c r="L81" s="430"/>
      <c r="M81" s="430"/>
      <c r="N81" s="430"/>
      <c r="O81" s="430"/>
      <c r="P81" s="431"/>
      <c r="Q81" s="431"/>
      <c r="R81" s="431"/>
      <c r="S81" s="431"/>
    </row>
    <row r="82" spans="1:19">
      <c r="A82" s="32"/>
      <c r="B82" s="29"/>
      <c r="C82" s="18"/>
      <c r="D82" s="29"/>
      <c r="E82" s="19" t="s">
        <v>250</v>
      </c>
      <c r="F82" s="19" t="str">
        <f t="shared" ref="F82:P82" si="78">F58</f>
        <v>Q4</v>
      </c>
      <c r="G82" s="19" t="str">
        <f t="shared" si="78"/>
        <v>Q1</v>
      </c>
      <c r="H82" s="415" t="str">
        <f t="shared" si="78"/>
        <v>Q2</v>
      </c>
      <c r="I82" s="415" t="str">
        <f t="shared" si="78"/>
        <v>Q3</v>
      </c>
      <c r="J82" s="415" t="str">
        <f t="shared" si="78"/>
        <v>Q4</v>
      </c>
      <c r="K82" s="415" t="str">
        <f t="shared" si="78"/>
        <v>Q1</v>
      </c>
      <c r="L82" s="415" t="str">
        <f t="shared" si="78"/>
        <v>Q2</v>
      </c>
      <c r="M82" s="415" t="str">
        <f t="shared" si="78"/>
        <v>Q3</v>
      </c>
      <c r="N82" s="415" t="str">
        <f t="shared" si="78"/>
        <v>Q4</v>
      </c>
      <c r="O82" s="415" t="str">
        <f t="shared" si="78"/>
        <v>Q1</v>
      </c>
      <c r="P82" s="415" t="str">
        <f t="shared" si="78"/>
        <v>Q2</v>
      </c>
      <c r="Q82" s="415" t="str">
        <f t="shared" ref="Q82:R82" si="79">Q58</f>
        <v>Q3</v>
      </c>
      <c r="R82" s="415" t="str">
        <f t="shared" si="79"/>
        <v>Q4</v>
      </c>
      <c r="S82" s="415" t="str">
        <f t="shared" ref="S82" si="80">S58</f>
        <v>Q1</v>
      </c>
    </row>
    <row r="83" spans="1:19">
      <c r="A83" s="32"/>
      <c r="B83" s="29"/>
      <c r="C83" s="18"/>
      <c r="D83" s="29"/>
      <c r="E83" s="45" t="str">
        <f>E59</f>
        <v>CY08</v>
      </c>
      <c r="F83" s="45" t="str">
        <f t="shared" ref="F83:P83" si="81">F59</f>
        <v>CY08</v>
      </c>
      <c r="G83" s="45" t="str">
        <f t="shared" si="81"/>
        <v>CY09</v>
      </c>
      <c r="H83" s="416" t="str">
        <f t="shared" si="81"/>
        <v>CY09</v>
      </c>
      <c r="I83" s="416" t="str">
        <f t="shared" si="81"/>
        <v>CY09</v>
      </c>
      <c r="J83" s="416" t="str">
        <f t="shared" si="81"/>
        <v>CY09</v>
      </c>
      <c r="K83" s="416" t="str">
        <f t="shared" si="81"/>
        <v>CY10</v>
      </c>
      <c r="L83" s="416" t="str">
        <f t="shared" si="81"/>
        <v>CY10</v>
      </c>
      <c r="M83" s="416" t="str">
        <f t="shared" si="81"/>
        <v>CY10</v>
      </c>
      <c r="N83" s="416" t="str">
        <f t="shared" si="81"/>
        <v>CY10</v>
      </c>
      <c r="O83" s="416" t="str">
        <f t="shared" si="81"/>
        <v>CY11</v>
      </c>
      <c r="P83" s="416" t="str">
        <f t="shared" si="81"/>
        <v>CY11</v>
      </c>
      <c r="Q83" s="416" t="str">
        <f t="shared" ref="Q83:R83" si="82">Q59</f>
        <v>CY11</v>
      </c>
      <c r="R83" s="416" t="str">
        <f t="shared" si="82"/>
        <v>CY11</v>
      </c>
      <c r="S83" s="416" t="str">
        <f t="shared" ref="S83" si="83">S59</f>
        <v>CY12</v>
      </c>
    </row>
    <row r="84" spans="1:19" ht="7.5" customHeight="1">
      <c r="A84" s="32"/>
      <c r="B84" s="29"/>
      <c r="C84" s="18"/>
      <c r="D84" s="29"/>
      <c r="E84" s="34"/>
      <c r="F84" s="34"/>
      <c r="G84" s="18"/>
      <c r="H84" s="430"/>
      <c r="I84" s="430"/>
      <c r="J84" s="430"/>
      <c r="K84" s="430"/>
      <c r="L84" s="430"/>
      <c r="M84" s="430"/>
      <c r="N84" s="430"/>
      <c r="O84" s="430"/>
      <c r="P84" s="432"/>
      <c r="Q84" s="432"/>
      <c r="R84" s="432"/>
      <c r="S84" s="432"/>
    </row>
    <row r="85" spans="1:19" ht="15.75" customHeight="1">
      <c r="A85" s="32"/>
      <c r="B85" s="1" t="s">
        <v>234</v>
      </c>
      <c r="C85" s="18"/>
      <c r="D85" s="29"/>
      <c r="E85" s="34"/>
      <c r="F85" s="34"/>
      <c r="G85" s="18"/>
      <c r="H85" s="430"/>
      <c r="I85" s="430"/>
      <c r="J85" s="430"/>
      <c r="K85" s="430"/>
      <c r="L85" s="430"/>
      <c r="M85" s="430"/>
      <c r="N85" s="430"/>
      <c r="O85" s="430"/>
      <c r="P85" s="432"/>
      <c r="Q85" s="432"/>
      <c r="R85" s="432"/>
      <c r="S85" s="432"/>
    </row>
    <row r="86" spans="1:19">
      <c r="A86" s="7"/>
      <c r="B86" s="2"/>
      <c r="C86" s="2" t="s">
        <v>248</v>
      </c>
      <c r="D86" s="7"/>
      <c r="E86" s="39">
        <f>E63/E$61</f>
        <v>0.37656903765690375</v>
      </c>
      <c r="F86" s="39">
        <f t="shared" ref="F86:O86" si="84">F63/F$61</f>
        <v>0.39820742637644047</v>
      </c>
      <c r="G86" s="39">
        <f t="shared" si="84"/>
        <v>0.32872928176795579</v>
      </c>
      <c r="H86" s="433">
        <f t="shared" si="84"/>
        <v>0.29588014981273408</v>
      </c>
      <c r="I86" s="433">
        <f t="shared" si="84"/>
        <v>0.27019867549668874</v>
      </c>
      <c r="J86" s="433">
        <f t="shared" si="84"/>
        <v>0.34589178356713429</v>
      </c>
      <c r="K86" s="433">
        <f t="shared" si="84"/>
        <v>0.28431372549019607</v>
      </c>
      <c r="L86" s="433">
        <f t="shared" si="84"/>
        <v>0.24304538799414349</v>
      </c>
      <c r="M86" s="433">
        <f t="shared" si="84"/>
        <v>0.22870478413068845</v>
      </c>
      <c r="N86" s="433">
        <f t="shared" si="84"/>
        <v>0.30729984301412872</v>
      </c>
      <c r="O86" s="433">
        <f t="shared" si="84"/>
        <v>0.22119205298013245</v>
      </c>
      <c r="P86" s="433">
        <f t="shared" ref="P86:P90" si="85">P63/P$61</f>
        <v>0.19313304721030042</v>
      </c>
      <c r="Q86" s="433">
        <f t="shared" ref="Q86:R98" si="86">Q63/Q$61</f>
        <v>0.20414673046251994</v>
      </c>
      <c r="R86" s="433">
        <f t="shared" si="86"/>
        <v>0.28654485049833889</v>
      </c>
      <c r="S86" s="433">
        <f t="shared" ref="S86:S98" si="87">S63/S$61</f>
        <v>0.23509369676320271</v>
      </c>
    </row>
    <row r="87" spans="1:19">
      <c r="A87" s="7"/>
      <c r="B87" s="2"/>
      <c r="C87" s="2" t="s">
        <v>284</v>
      </c>
      <c r="D87" s="7"/>
      <c r="E87" s="39">
        <f t="shared" ref="E87:O87" si="88">E64/E$61</f>
        <v>5.9972105997210597E-2</v>
      </c>
      <c r="F87" s="39">
        <f t="shared" si="88"/>
        <v>2.2620571916346564E-2</v>
      </c>
      <c r="G87" s="39">
        <f t="shared" si="88"/>
        <v>7.18232044198895E-2</v>
      </c>
      <c r="H87" s="433">
        <f t="shared" si="88"/>
        <v>6.3670411985018729E-2</v>
      </c>
      <c r="I87" s="433">
        <f t="shared" si="88"/>
        <v>7.2847682119205295E-2</v>
      </c>
      <c r="J87" s="433">
        <f t="shared" si="88"/>
        <v>2.1643286573146292E-2</v>
      </c>
      <c r="K87" s="433">
        <f t="shared" si="88"/>
        <v>7.8431372549019607E-2</v>
      </c>
      <c r="L87" s="433">
        <f t="shared" si="88"/>
        <v>7.7598828696925332E-2</v>
      </c>
      <c r="M87" s="433">
        <f t="shared" si="88"/>
        <v>7.1178529754959155E-2</v>
      </c>
      <c r="N87" s="433">
        <f t="shared" si="88"/>
        <v>2.8649921507064365E-2</v>
      </c>
      <c r="O87" s="433">
        <f t="shared" si="88"/>
        <v>8.3443708609271527E-2</v>
      </c>
      <c r="P87" s="433">
        <f t="shared" si="85"/>
        <v>8.4406294706723894E-2</v>
      </c>
      <c r="Q87" s="433">
        <f t="shared" si="86"/>
        <v>9.4098883572567779E-2</v>
      </c>
      <c r="R87" s="433">
        <f t="shared" si="86"/>
        <v>2.408637873754153E-2</v>
      </c>
      <c r="S87" s="433">
        <f t="shared" si="87"/>
        <v>0.10051107325383304</v>
      </c>
    </row>
    <row r="88" spans="1:19">
      <c r="A88" s="7"/>
      <c r="B88" s="2"/>
      <c r="C88" s="2" t="s">
        <v>246</v>
      </c>
      <c r="D88" s="7"/>
      <c r="E88" s="39">
        <f t="shared" ref="E88:O88" si="89">E65/E$61</f>
        <v>3.4867503486750349E-2</v>
      </c>
      <c r="F88" s="39">
        <f t="shared" si="89"/>
        <v>7.0422535211267609E-2</v>
      </c>
      <c r="G88" s="39">
        <f t="shared" si="89"/>
        <v>3.8674033149171269E-2</v>
      </c>
      <c r="H88" s="433">
        <f t="shared" si="89"/>
        <v>4.49438202247191E-2</v>
      </c>
      <c r="I88" s="433">
        <f t="shared" si="89"/>
        <v>9.8013245033112581E-2</v>
      </c>
      <c r="J88" s="433">
        <f t="shared" si="89"/>
        <v>4.2885771543086169E-2</v>
      </c>
      <c r="K88" s="433">
        <f t="shared" si="89"/>
        <v>4.0616246498599441E-2</v>
      </c>
      <c r="L88" s="433">
        <f t="shared" si="89"/>
        <v>7.6134699853587118E-2</v>
      </c>
      <c r="M88" s="433">
        <f t="shared" si="89"/>
        <v>6.1843640606767794E-2</v>
      </c>
      <c r="N88" s="433">
        <f t="shared" si="89"/>
        <v>6.0047095761381473E-2</v>
      </c>
      <c r="O88" s="433">
        <f t="shared" si="89"/>
        <v>1.9867549668874173E-2</v>
      </c>
      <c r="P88" s="433">
        <f t="shared" si="85"/>
        <v>1.7167381974248927E-2</v>
      </c>
      <c r="Q88" s="433">
        <f t="shared" si="86"/>
        <v>2.2328548644338118E-2</v>
      </c>
      <c r="R88" s="433">
        <f t="shared" si="86"/>
        <v>4.9418604651162788E-2</v>
      </c>
      <c r="S88" s="433">
        <f t="shared" si="87"/>
        <v>1.7035775127768313E-2</v>
      </c>
    </row>
    <row r="89" spans="1:19">
      <c r="A89" s="7"/>
      <c r="B89" s="2"/>
      <c r="C89" s="2" t="s">
        <v>247</v>
      </c>
      <c r="D89" s="7"/>
      <c r="E89" s="39">
        <f t="shared" ref="E89:O89" si="90">E66/E$61</f>
        <v>1.9525801952580194E-2</v>
      </c>
      <c r="F89" s="39">
        <f t="shared" si="90"/>
        <v>3.2010243277848911E-2</v>
      </c>
      <c r="G89" s="39">
        <f t="shared" si="90"/>
        <v>3.8674033149171269E-2</v>
      </c>
      <c r="H89" s="433">
        <f t="shared" si="90"/>
        <v>3.495630461922597E-2</v>
      </c>
      <c r="I89" s="433">
        <f t="shared" si="90"/>
        <v>3.443708609271523E-2</v>
      </c>
      <c r="J89" s="433">
        <f t="shared" si="90"/>
        <v>1.7635270541082163E-2</v>
      </c>
      <c r="K89" s="433">
        <f t="shared" si="90"/>
        <v>2.3809523809523808E-2</v>
      </c>
      <c r="L89" s="433">
        <f t="shared" si="90"/>
        <v>2.6354319180087848E-2</v>
      </c>
      <c r="M89" s="433">
        <f t="shared" si="90"/>
        <v>2.9171528588098017E-2</v>
      </c>
      <c r="N89" s="433">
        <f t="shared" si="90"/>
        <v>1.5698587127158554E-2</v>
      </c>
      <c r="O89" s="433">
        <f t="shared" si="90"/>
        <v>9.2715231788079479E-3</v>
      </c>
      <c r="P89" s="433">
        <f t="shared" si="85"/>
        <v>1.7167381974248927E-2</v>
      </c>
      <c r="Q89" s="433">
        <f t="shared" si="86"/>
        <v>1.1164274322169059E-2</v>
      </c>
      <c r="R89" s="433">
        <f t="shared" si="86"/>
        <v>1.8687707641196014E-2</v>
      </c>
      <c r="S89" s="433">
        <f t="shared" si="87"/>
        <v>5.1107325383304937E-3</v>
      </c>
    </row>
    <row r="90" spans="1:19">
      <c r="A90" s="10"/>
      <c r="B90" s="10"/>
      <c r="C90" s="6" t="s">
        <v>47</v>
      </c>
      <c r="D90" s="10"/>
      <c r="E90" s="39">
        <f t="shared" ref="E90:O90" si="91">E67/E$61</f>
        <v>0.14225941422594143</v>
      </c>
      <c r="F90" s="39">
        <f t="shared" si="91"/>
        <v>7.5117370892018781E-2</v>
      </c>
      <c r="G90" s="39">
        <f t="shared" si="91"/>
        <v>0.15331491712707182</v>
      </c>
      <c r="H90" s="433">
        <f t="shared" si="91"/>
        <v>0.14481897627965043</v>
      </c>
      <c r="I90" s="433">
        <f t="shared" si="91"/>
        <v>0.14701986754966886</v>
      </c>
      <c r="J90" s="433">
        <f t="shared" si="91"/>
        <v>0.10140280561122245</v>
      </c>
      <c r="K90" s="433">
        <f t="shared" si="91"/>
        <v>0.18487394957983194</v>
      </c>
      <c r="L90" s="433">
        <f t="shared" si="91"/>
        <v>0.15373352855051245</v>
      </c>
      <c r="M90" s="433">
        <f t="shared" si="91"/>
        <v>0.13068844807467911</v>
      </c>
      <c r="N90" s="433">
        <f t="shared" si="91"/>
        <v>0.10400313971742543</v>
      </c>
      <c r="O90" s="433">
        <f t="shared" si="91"/>
        <v>0.18013245033112582</v>
      </c>
      <c r="P90" s="433">
        <f t="shared" si="85"/>
        <v>0.15879828326180256</v>
      </c>
      <c r="Q90" s="433">
        <f t="shared" si="86"/>
        <v>0.20414673046251994</v>
      </c>
      <c r="R90" s="433">
        <f t="shared" si="86"/>
        <v>9.5930232558139539E-2</v>
      </c>
      <c r="S90" s="433">
        <f t="shared" si="87"/>
        <v>0.20442930153321975</v>
      </c>
    </row>
    <row r="91" spans="1:19">
      <c r="A91" s="10"/>
      <c r="B91" s="10"/>
      <c r="C91" s="6" t="s">
        <v>48</v>
      </c>
      <c r="D91" s="10"/>
      <c r="E91" s="39">
        <f t="shared" ref="E91:O91" si="92">E68/E$61</f>
        <v>0.12691771269177127</v>
      </c>
      <c r="F91" s="39">
        <f t="shared" si="92"/>
        <v>9.9445155783183956E-2</v>
      </c>
      <c r="G91" s="39">
        <f t="shared" si="92"/>
        <v>0.10773480662983426</v>
      </c>
      <c r="H91" s="433">
        <f t="shared" si="92"/>
        <v>0.14232209737827714</v>
      </c>
      <c r="I91" s="433">
        <f t="shared" si="92"/>
        <v>0.17350993377483442</v>
      </c>
      <c r="J91" s="433">
        <f t="shared" si="92"/>
        <v>8.6573146292585168E-2</v>
      </c>
      <c r="K91" s="433">
        <f t="shared" si="92"/>
        <v>7.5630252100840331E-2</v>
      </c>
      <c r="L91" s="433">
        <f t="shared" si="92"/>
        <v>0.1800878477306003</v>
      </c>
      <c r="M91" s="433">
        <f t="shared" si="92"/>
        <v>0.12602100350058343</v>
      </c>
      <c r="N91" s="433">
        <f t="shared" si="92"/>
        <v>8.7519623233908952E-2</v>
      </c>
      <c r="O91" s="433">
        <f t="shared" si="92"/>
        <v>7.8145695364238404E-2</v>
      </c>
      <c r="P91" s="433">
        <f t="shared" ref="P91" si="93">P68/P$61</f>
        <v>0.13161659513590845</v>
      </c>
      <c r="Q91" s="433">
        <f t="shared" si="86"/>
        <v>0.18022328548644337</v>
      </c>
      <c r="R91" s="433">
        <f t="shared" si="86"/>
        <v>0.11586378737541528</v>
      </c>
      <c r="S91" s="433">
        <f t="shared" si="87"/>
        <v>0.131175468483816</v>
      </c>
    </row>
    <row r="92" spans="1:19" ht="16.5">
      <c r="A92" s="10"/>
      <c r="B92" s="10"/>
      <c r="C92" s="6" t="s">
        <v>49</v>
      </c>
      <c r="D92" s="10"/>
      <c r="E92" s="40">
        <f t="shared" ref="E92:O92" si="94">E69/E$61</f>
        <v>6.9735006973500699E-2</v>
      </c>
      <c r="F92" s="40">
        <f t="shared" si="94"/>
        <v>2.7315407597097739E-2</v>
      </c>
      <c r="G92" s="40">
        <f t="shared" si="94"/>
        <v>9.668508287292818E-2</v>
      </c>
      <c r="H92" s="435">
        <f t="shared" si="94"/>
        <v>7.8651685393258425E-2</v>
      </c>
      <c r="I92" s="435">
        <f t="shared" si="94"/>
        <v>0.10463576158940398</v>
      </c>
      <c r="J92" s="435">
        <f t="shared" si="94"/>
        <v>2.965931863727455E-2</v>
      </c>
      <c r="K92" s="435">
        <f t="shared" si="94"/>
        <v>8.1232492997198882E-2</v>
      </c>
      <c r="L92" s="435">
        <f t="shared" si="94"/>
        <v>9.5168374816983897E-2</v>
      </c>
      <c r="M92" s="435">
        <f t="shared" si="94"/>
        <v>0.11435239206534423</v>
      </c>
      <c r="N92" s="435">
        <f t="shared" si="94"/>
        <v>4.3171114599686027E-2</v>
      </c>
      <c r="O92" s="435">
        <f t="shared" si="94"/>
        <v>0.11920529801324503</v>
      </c>
      <c r="P92" s="435">
        <f t="shared" ref="P92" si="95">P69/P$61</f>
        <v>0.16165951359084407</v>
      </c>
      <c r="Q92" s="435">
        <f t="shared" si="86"/>
        <v>0.14832535885167464</v>
      </c>
      <c r="R92" s="435">
        <f t="shared" si="86"/>
        <v>3.9867109634551492E-2</v>
      </c>
      <c r="S92" s="435">
        <f t="shared" si="87"/>
        <v>0.15332197614991483</v>
      </c>
    </row>
    <row r="93" spans="1:19" ht="16.5">
      <c r="A93" s="10"/>
      <c r="B93" s="10"/>
      <c r="C93" s="10"/>
      <c r="D93" s="10" t="s">
        <v>233</v>
      </c>
      <c r="E93" s="40">
        <f t="shared" ref="E93:O93" si="96">E70/E$61</f>
        <v>0.8298465829846583</v>
      </c>
      <c r="F93" s="40">
        <f t="shared" si="96"/>
        <v>0.72513871105420402</v>
      </c>
      <c r="G93" s="40">
        <f t="shared" si="96"/>
        <v>0.83563535911602205</v>
      </c>
      <c r="H93" s="435">
        <f t="shared" si="96"/>
        <v>0.80524344569288386</v>
      </c>
      <c r="I93" s="435">
        <f t="shared" si="96"/>
        <v>0.90066225165562919</v>
      </c>
      <c r="J93" s="435">
        <f t="shared" si="96"/>
        <v>0.64569138276553106</v>
      </c>
      <c r="K93" s="435">
        <f t="shared" si="96"/>
        <v>0.76890756302521013</v>
      </c>
      <c r="L93" s="435">
        <f t="shared" si="96"/>
        <v>0.85212298682284038</v>
      </c>
      <c r="M93" s="435">
        <f t="shared" si="96"/>
        <v>0.76196032672112024</v>
      </c>
      <c r="N93" s="435">
        <f t="shared" si="96"/>
        <v>0.64638932496075352</v>
      </c>
      <c r="O93" s="435">
        <f t="shared" si="96"/>
        <v>0.71125827814569531</v>
      </c>
      <c r="P93" s="435">
        <f t="shared" ref="P93" si="97">P70/P$61</f>
        <v>0.76394849785407726</v>
      </c>
      <c r="Q93" s="435">
        <f t="shared" si="86"/>
        <v>0.86443381180223289</v>
      </c>
      <c r="R93" s="435">
        <f t="shared" si="86"/>
        <v>0.63039867109634551</v>
      </c>
      <c r="S93" s="435">
        <f t="shared" si="87"/>
        <v>0.84667802385008517</v>
      </c>
    </row>
    <row r="94" spans="1:19">
      <c r="A94" s="11"/>
      <c r="B94" s="25" t="s">
        <v>1</v>
      </c>
      <c r="C94" s="3"/>
      <c r="D94" s="11"/>
      <c r="E94" s="38">
        <f t="shared" ref="E94:O94" si="98">E71/E$61</f>
        <v>0.1701534170153417</v>
      </c>
      <c r="F94" s="38">
        <f t="shared" si="98"/>
        <v>0.27486128894579598</v>
      </c>
      <c r="G94" s="38">
        <f t="shared" si="98"/>
        <v>0.1643646408839779</v>
      </c>
      <c r="H94" s="436">
        <f t="shared" si="98"/>
        <v>0.19475655430711611</v>
      </c>
      <c r="I94" s="436">
        <f t="shared" si="98"/>
        <v>9.9337748344370855E-2</v>
      </c>
      <c r="J94" s="436">
        <f t="shared" si="98"/>
        <v>0.35430861723446894</v>
      </c>
      <c r="K94" s="436">
        <f t="shared" si="98"/>
        <v>0.23109243697478993</v>
      </c>
      <c r="L94" s="436">
        <f t="shared" si="98"/>
        <v>0.14787701317715959</v>
      </c>
      <c r="M94" s="436">
        <f t="shared" si="98"/>
        <v>0.23803967327887982</v>
      </c>
      <c r="N94" s="436">
        <f t="shared" si="98"/>
        <v>0.35361067503924648</v>
      </c>
      <c r="O94" s="436">
        <f t="shared" si="98"/>
        <v>0.28874172185430463</v>
      </c>
      <c r="P94" s="436">
        <f>P71/P$61</f>
        <v>0.23605150214592274</v>
      </c>
      <c r="Q94" s="436">
        <f t="shared" si="86"/>
        <v>0.13556618819776714</v>
      </c>
      <c r="R94" s="436">
        <f t="shared" si="86"/>
        <v>0.36960132890365449</v>
      </c>
      <c r="S94" s="436">
        <f t="shared" si="87"/>
        <v>0.15332197614991483</v>
      </c>
    </row>
    <row r="95" spans="1:19" ht="16.5">
      <c r="A95" s="12"/>
      <c r="B95" s="2" t="s">
        <v>279</v>
      </c>
      <c r="C95" s="12"/>
      <c r="D95" s="12"/>
      <c r="E95" s="40">
        <f t="shared" ref="E95:O95" si="99">E72/E$61</f>
        <v>3.3472803347280332E-2</v>
      </c>
      <c r="F95" s="40">
        <f t="shared" si="99"/>
        <v>7.6824583866837385E-3</v>
      </c>
      <c r="G95" s="40">
        <f t="shared" si="99"/>
        <v>1.3812154696132596E-2</v>
      </c>
      <c r="H95" s="435">
        <f t="shared" si="99"/>
        <v>0</v>
      </c>
      <c r="I95" s="435">
        <f t="shared" si="99"/>
        <v>3.9735099337748344E-3</v>
      </c>
      <c r="J95" s="435">
        <f t="shared" si="99"/>
        <v>-1.2024048096192384E-3</v>
      </c>
      <c r="K95" s="435">
        <f t="shared" si="99"/>
        <v>0</v>
      </c>
      <c r="L95" s="435">
        <f t="shared" si="99"/>
        <v>1.4641288433382138E-3</v>
      </c>
      <c r="M95" s="435">
        <f t="shared" si="99"/>
        <v>1.6336056009334889E-2</v>
      </c>
      <c r="N95" s="435">
        <f t="shared" si="99"/>
        <v>3.1397174254317113E-3</v>
      </c>
      <c r="O95" s="435">
        <f t="shared" si="99"/>
        <v>2.6490066225165563E-3</v>
      </c>
      <c r="P95" s="435">
        <f t="shared" ref="P95" si="100">P72/P$61</f>
        <v>2.8612303290414878E-3</v>
      </c>
      <c r="Q95" s="435">
        <f t="shared" si="86"/>
        <v>4.7846889952153108E-3</v>
      </c>
      <c r="R95" s="435">
        <f t="shared" si="86"/>
        <v>-2.0764119601328905E-3</v>
      </c>
      <c r="S95" s="435">
        <f t="shared" si="87"/>
        <v>1.7035775127768314E-3</v>
      </c>
    </row>
    <row r="96" spans="1:19">
      <c r="A96" s="12"/>
      <c r="B96" s="22" t="s">
        <v>52</v>
      </c>
      <c r="C96" s="4"/>
      <c r="D96" s="12"/>
      <c r="E96" s="39">
        <f t="shared" ref="E96:O96" si="101">E73/E$61</f>
        <v>0.20362622036262204</v>
      </c>
      <c r="F96" s="39">
        <f t="shared" si="101"/>
        <v>0.28254374733247972</v>
      </c>
      <c r="G96" s="39">
        <f t="shared" si="101"/>
        <v>0.17817679558011049</v>
      </c>
      <c r="H96" s="433">
        <f t="shared" si="101"/>
        <v>0.19475655430711611</v>
      </c>
      <c r="I96" s="433">
        <f t="shared" si="101"/>
        <v>0.10331125827814569</v>
      </c>
      <c r="J96" s="433">
        <f t="shared" si="101"/>
        <v>0.35310621242484969</v>
      </c>
      <c r="K96" s="433">
        <f t="shared" si="101"/>
        <v>0.23109243697478993</v>
      </c>
      <c r="L96" s="433">
        <f t="shared" si="101"/>
        <v>0.14934114202049781</v>
      </c>
      <c r="M96" s="433">
        <f t="shared" si="101"/>
        <v>0.25437572928821472</v>
      </c>
      <c r="N96" s="433">
        <f t="shared" si="101"/>
        <v>0.35675039246467816</v>
      </c>
      <c r="O96" s="433">
        <f t="shared" si="101"/>
        <v>0.29139072847682118</v>
      </c>
      <c r="P96" s="433">
        <f t="shared" ref="P96" si="102">P73/P$61</f>
        <v>0.23891273247496422</v>
      </c>
      <c r="Q96" s="433">
        <f t="shared" si="86"/>
        <v>0.14035087719298245</v>
      </c>
      <c r="R96" s="433">
        <f t="shared" si="86"/>
        <v>0.36752491694352157</v>
      </c>
      <c r="S96" s="433">
        <f t="shared" si="87"/>
        <v>0.15502555366269166</v>
      </c>
    </row>
    <row r="97" spans="1:19" ht="16.5">
      <c r="A97" s="12"/>
      <c r="B97" s="2" t="s">
        <v>53</v>
      </c>
      <c r="C97" s="4"/>
      <c r="D97" s="12"/>
      <c r="E97" s="40">
        <f t="shared" ref="E97:O97" si="103">E74/E$61</f>
        <v>7.5313807531380755E-2</v>
      </c>
      <c r="F97" s="40">
        <f t="shared" si="103"/>
        <v>9.9445155783183956E-2</v>
      </c>
      <c r="G97" s="40">
        <f t="shared" si="103"/>
        <v>2.4861878453038673E-2</v>
      </c>
      <c r="H97" s="435">
        <f t="shared" si="103"/>
        <v>5.4931335830212237E-2</v>
      </c>
      <c r="I97" s="435">
        <f t="shared" si="103"/>
        <v>3.0463576158940398E-2</v>
      </c>
      <c r="J97" s="435">
        <f t="shared" si="103"/>
        <v>9.9799599198396788E-2</v>
      </c>
      <c r="K97" s="435">
        <f t="shared" si="103"/>
        <v>6.8627450980392163E-2</v>
      </c>
      <c r="L97" s="435">
        <f t="shared" si="103"/>
        <v>4.3923865300146414E-2</v>
      </c>
      <c r="M97" s="435">
        <f t="shared" si="103"/>
        <v>8.168028004667445E-2</v>
      </c>
      <c r="N97" s="435">
        <f t="shared" si="103"/>
        <v>9.968602825745683E-2</v>
      </c>
      <c r="O97" s="435">
        <f t="shared" si="103"/>
        <v>8.4768211920529801E-2</v>
      </c>
      <c r="P97" s="435">
        <f t="shared" ref="P97" si="104">P74/P$61</f>
        <v>7.0100143061516448E-2</v>
      </c>
      <c r="Q97" s="435">
        <f t="shared" si="86"/>
        <v>1.594896331738437E-3</v>
      </c>
      <c r="R97" s="435">
        <f t="shared" si="86"/>
        <v>6.6445182724252497E-2</v>
      </c>
      <c r="S97" s="435">
        <f t="shared" si="87"/>
        <v>4.0885860306643949E-2</v>
      </c>
    </row>
    <row r="98" spans="1:19" ht="16.5">
      <c r="A98" s="12"/>
      <c r="B98" s="25" t="s">
        <v>2</v>
      </c>
      <c r="C98" s="4"/>
      <c r="D98" s="9"/>
      <c r="E98" s="41">
        <f t="shared" ref="E98:P98" si="105">E75/E$61</f>
        <v>0.12831241283124128</v>
      </c>
      <c r="F98" s="41">
        <f t="shared" si="105"/>
        <v>0.18309859154929578</v>
      </c>
      <c r="G98" s="41">
        <f t="shared" si="105"/>
        <v>0.15331491712707182</v>
      </c>
      <c r="H98" s="41">
        <f t="shared" si="105"/>
        <v>0.13982521847690388</v>
      </c>
      <c r="I98" s="41">
        <f t="shared" si="105"/>
        <v>7.2847682119205295E-2</v>
      </c>
      <c r="J98" s="41">
        <f t="shared" si="105"/>
        <v>0.25330661322645293</v>
      </c>
      <c r="K98" s="41">
        <f t="shared" si="105"/>
        <v>0.16246498599439776</v>
      </c>
      <c r="L98" s="437">
        <f t="shared" si="105"/>
        <v>0.10541727672035139</v>
      </c>
      <c r="M98" s="41">
        <f t="shared" si="105"/>
        <v>0.17269544924154026</v>
      </c>
      <c r="N98" s="41">
        <f t="shared" si="105"/>
        <v>0.25706436420722134</v>
      </c>
      <c r="O98" s="41">
        <f t="shared" si="105"/>
        <v>0.20662251655629138</v>
      </c>
      <c r="P98" s="41">
        <f t="shared" si="105"/>
        <v>0.16881258941344779</v>
      </c>
      <c r="Q98" s="41">
        <f t="shared" si="86"/>
        <v>0.13875598086124402</v>
      </c>
      <c r="R98" s="41">
        <f>R75/R$61</f>
        <v>0.30107973421926909</v>
      </c>
      <c r="S98" s="41">
        <f t="shared" si="87"/>
        <v>0.11413969335604771</v>
      </c>
    </row>
    <row r="99" spans="1:19" ht="16.5">
      <c r="A99" s="12"/>
      <c r="B99" s="25"/>
      <c r="C99" s="4"/>
      <c r="D99" s="9"/>
      <c r="E99" s="41"/>
      <c r="F99" s="41"/>
      <c r="G99" s="41"/>
      <c r="H99" s="41"/>
      <c r="I99" s="41"/>
      <c r="J99" s="41"/>
      <c r="K99" s="41"/>
      <c r="L99" s="437"/>
      <c r="M99" s="41"/>
      <c r="N99" s="41"/>
      <c r="O99" s="41"/>
      <c r="P99" s="41"/>
    </row>
    <row r="100" spans="1:19" ht="16.5" hidden="1" outlineLevel="1">
      <c r="A100" s="9"/>
      <c r="B100" s="555" t="s">
        <v>271</v>
      </c>
      <c r="C100" s="9"/>
      <c r="D100" s="9"/>
      <c r="E100" s="41"/>
      <c r="F100" s="41"/>
      <c r="G100" s="41"/>
      <c r="H100" s="437"/>
      <c r="I100" s="437"/>
      <c r="J100" s="437"/>
      <c r="K100" s="437"/>
      <c r="L100" s="437"/>
      <c r="M100" s="437"/>
      <c r="N100" s="437"/>
      <c r="O100" s="437"/>
      <c r="P100" s="437"/>
    </row>
    <row r="101" spans="1:19" hidden="1" outlineLevel="1"/>
    <row r="102" spans="1:19" ht="16.5" collapsed="1">
      <c r="A102" s="9"/>
      <c r="B102" s="25"/>
      <c r="C102" s="9"/>
      <c r="D102" s="9"/>
      <c r="E102" s="41"/>
      <c r="F102" s="41"/>
      <c r="G102" s="41"/>
      <c r="H102" s="437"/>
      <c r="I102" s="437"/>
      <c r="J102" s="437"/>
      <c r="K102" s="437"/>
      <c r="L102" s="437"/>
      <c r="M102" s="437"/>
      <c r="N102" s="437"/>
      <c r="O102" s="437"/>
      <c r="P102" s="437"/>
    </row>
  </sheetData>
  <mergeCells count="3">
    <mergeCell ref="A1:T1"/>
    <mergeCell ref="A2:T2"/>
    <mergeCell ref="A3:T3"/>
  </mergeCells>
  <conditionalFormatting sqref="B58 C57:C58">
    <cfRule type="cellIs" dxfId="1" priority="1" stopIfTrue="1" operator="equal">
      <formula>"tie to PF Core IS"</formula>
    </cfRule>
  </conditionalFormatting>
  <pageMargins left="0.7" right="0.7" top="0.25" bottom="0.44" header="0.3" footer="0.3"/>
  <pageSetup scale="60" fitToHeight="2" orientation="landscape" r:id="rId1"/>
  <headerFooter>
    <oddFooter>&amp;LActivision Blizzard, Inc.&amp;R&amp;P of &amp; 17</oddFooter>
  </headerFooter>
  <rowBreaks count="1" manualBreakCount="1">
    <brk id="56"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5"/>
  <sheetViews>
    <sheetView showGridLines="0" view="pageBreakPreview" zoomScale="60" zoomScaleNormal="100" workbookViewId="0">
      <pane xSplit="4" ySplit="8" topLeftCell="E9" activePane="bottomRight" state="frozen"/>
      <selection activeCell="J17" sqref="J17"/>
      <selection pane="topRight" activeCell="J17" sqref="J17"/>
      <selection pane="bottomLeft" activeCell="J17" sqref="J17"/>
      <selection pane="bottomRight" activeCell="J17" sqref="J17"/>
    </sheetView>
  </sheetViews>
  <sheetFormatPr defaultColWidth="8.85546875" defaultRowHeight="15"/>
  <cols>
    <col min="1" max="3" width="2.7109375" style="5" customWidth="1"/>
    <col min="4" max="4" width="40.28515625" style="5" customWidth="1"/>
    <col min="5" max="6" width="11.140625" style="27" customWidth="1"/>
    <col min="7" max="9" width="11.140625" style="48" customWidth="1"/>
    <col min="10" max="10" width="10.5703125" style="27" bestFit="1" customWidth="1"/>
    <col min="11" max="12" width="10.5703125" style="48" bestFit="1" customWidth="1"/>
    <col min="13" max="16" width="10" style="43" customWidth="1"/>
    <col min="17" max="17" width="1.42578125" style="27" customWidth="1"/>
    <col min="18" max="16384" width="8.85546875" style="27"/>
  </cols>
  <sheetData>
    <row r="1" spans="1:22" s="31" customFormat="1" ht="15" customHeight="1" collapsed="1">
      <c r="A1" s="588" t="s">
        <v>42</v>
      </c>
      <c r="B1" s="588"/>
      <c r="C1" s="588"/>
      <c r="D1" s="588"/>
      <c r="E1" s="588"/>
      <c r="F1" s="588"/>
      <c r="G1" s="588"/>
      <c r="H1" s="588"/>
      <c r="I1" s="588"/>
      <c r="J1" s="588"/>
      <c r="K1" s="588"/>
      <c r="L1" s="588"/>
      <c r="M1" s="588"/>
      <c r="N1" s="588"/>
      <c r="O1" s="588"/>
      <c r="P1" s="588"/>
      <c r="Q1" s="588"/>
    </row>
    <row r="2" spans="1:22" s="31" customFormat="1" ht="15" customHeight="1">
      <c r="A2" s="588" t="s">
        <v>264</v>
      </c>
      <c r="B2" s="588"/>
      <c r="C2" s="588"/>
      <c r="D2" s="588"/>
      <c r="E2" s="588"/>
      <c r="F2" s="588"/>
      <c r="G2" s="588"/>
      <c r="H2" s="588"/>
      <c r="I2" s="588"/>
      <c r="J2" s="588"/>
      <c r="K2" s="588"/>
      <c r="L2" s="588"/>
      <c r="M2" s="588"/>
      <c r="N2" s="588"/>
      <c r="O2" s="588"/>
      <c r="P2" s="588"/>
      <c r="Q2" s="588"/>
    </row>
    <row r="3" spans="1:22" s="31" customFormat="1" ht="15" customHeight="1">
      <c r="A3" s="588" t="s">
        <v>24</v>
      </c>
      <c r="B3" s="588"/>
      <c r="C3" s="588"/>
      <c r="D3" s="588"/>
      <c r="E3" s="588"/>
      <c r="F3" s="588"/>
      <c r="G3" s="588"/>
      <c r="H3" s="588"/>
      <c r="I3" s="588"/>
      <c r="J3" s="588"/>
      <c r="K3" s="588"/>
      <c r="L3" s="588"/>
      <c r="M3" s="588"/>
      <c r="N3" s="588"/>
      <c r="O3" s="588"/>
      <c r="P3" s="588"/>
      <c r="Q3" s="588"/>
      <c r="R3" s="30"/>
      <c r="V3" s="30"/>
    </row>
    <row r="4" spans="1:22" s="61" customFormat="1" ht="5.25" customHeight="1">
      <c r="A4" s="59"/>
      <c r="B4" s="60"/>
      <c r="C4" s="60"/>
      <c r="D4" s="60"/>
      <c r="E4" s="60"/>
      <c r="F4" s="60"/>
      <c r="G4" s="527"/>
      <c r="H4" s="527"/>
      <c r="I4" s="527"/>
      <c r="J4" s="60"/>
      <c r="K4" s="527"/>
      <c r="L4" s="527"/>
      <c r="M4" s="527"/>
      <c r="N4" s="60"/>
      <c r="O4" s="60"/>
      <c r="P4" s="60"/>
      <c r="R4" s="479"/>
      <c r="V4" s="479"/>
    </row>
    <row r="5" spans="1:22">
      <c r="A5" s="20" t="s">
        <v>174</v>
      </c>
    </row>
    <row r="6" spans="1:22" s="413" customFormat="1">
      <c r="A6" s="539"/>
      <c r="B6" s="539"/>
      <c r="C6" s="539"/>
      <c r="D6" s="539"/>
      <c r="E6" s="415" t="s">
        <v>4</v>
      </c>
      <c r="F6" s="415" t="s">
        <v>5</v>
      </c>
      <c r="G6" s="415" t="s">
        <v>6</v>
      </c>
      <c r="H6" s="415" t="s">
        <v>3</v>
      </c>
      <c r="I6" s="415" t="s">
        <v>4</v>
      </c>
      <c r="J6" s="415" t="s">
        <v>5</v>
      </c>
      <c r="K6" s="415" t="s">
        <v>6</v>
      </c>
      <c r="L6" s="415" t="s">
        <v>3</v>
      </c>
      <c r="M6" s="415" t="s">
        <v>4</v>
      </c>
      <c r="N6" s="415" t="s">
        <v>5</v>
      </c>
      <c r="O6" s="415" t="s">
        <v>6</v>
      </c>
      <c r="P6" s="415" t="s">
        <v>3</v>
      </c>
    </row>
    <row r="7" spans="1:22" s="413" customFormat="1">
      <c r="A7" s="538"/>
      <c r="B7" s="538"/>
      <c r="C7" s="538"/>
      <c r="D7" s="538"/>
      <c r="E7" s="415" t="s">
        <v>44</v>
      </c>
      <c r="F7" s="415" t="s">
        <v>44</v>
      </c>
      <c r="G7" s="415" t="s">
        <v>44</v>
      </c>
      <c r="H7" s="415" t="s">
        <v>45</v>
      </c>
      <c r="I7" s="415" t="s">
        <v>45</v>
      </c>
      <c r="J7" s="415" t="s">
        <v>45</v>
      </c>
      <c r="K7" s="415" t="s">
        <v>45</v>
      </c>
      <c r="L7" s="415" t="s">
        <v>46</v>
      </c>
      <c r="M7" s="415" t="s">
        <v>46</v>
      </c>
      <c r="N7" s="415" t="s">
        <v>46</v>
      </c>
      <c r="O7" s="415" t="s">
        <v>46</v>
      </c>
      <c r="P7" s="415" t="s">
        <v>296</v>
      </c>
    </row>
    <row r="8" spans="1:22" s="413" customFormat="1">
      <c r="E8" s="580" t="s">
        <v>252</v>
      </c>
      <c r="F8" s="580" t="s">
        <v>252</v>
      </c>
      <c r="G8" s="580" t="s">
        <v>252</v>
      </c>
      <c r="H8" s="580" t="s">
        <v>252</v>
      </c>
      <c r="I8" s="580" t="s">
        <v>252</v>
      </c>
      <c r="J8" s="580" t="s">
        <v>252</v>
      </c>
      <c r="K8" s="580" t="s">
        <v>252</v>
      </c>
      <c r="L8" s="580" t="s">
        <v>252</v>
      </c>
      <c r="M8" s="580" t="s">
        <v>252</v>
      </c>
      <c r="N8" s="580" t="s">
        <v>252</v>
      </c>
      <c r="O8" s="580" t="s">
        <v>252</v>
      </c>
      <c r="P8" s="580" t="s">
        <v>252</v>
      </c>
      <c r="Q8" s="581"/>
    </row>
    <row r="9" spans="1:22" ht="5.25" customHeight="1">
      <c r="A9" s="6"/>
      <c r="B9" s="6"/>
      <c r="C9" s="6"/>
      <c r="D9" s="6"/>
      <c r="E9" s="548"/>
      <c r="F9" s="548"/>
      <c r="G9" s="548"/>
      <c r="H9" s="548"/>
      <c r="I9" s="548"/>
      <c r="J9" s="548"/>
      <c r="K9" s="548"/>
      <c r="L9" s="548"/>
      <c r="M9" s="549"/>
      <c r="N9" s="549"/>
      <c r="O9" s="549"/>
      <c r="P9" s="549"/>
    </row>
    <row r="10" spans="1:22">
      <c r="A10" s="8"/>
      <c r="B10" s="1" t="s">
        <v>235</v>
      </c>
      <c r="C10" s="9"/>
      <c r="D10" s="8"/>
      <c r="E10" s="13">
        <f>SUM('QTD P&amp;L'!E9:H9)</f>
        <v>4369</v>
      </c>
      <c r="F10" s="13">
        <f>SUM('QTD P&amp;L'!F9:I9)</f>
        <v>4361</v>
      </c>
      <c r="G10" s="13">
        <f>SUM('QTD P&amp;L'!G9:J9)</f>
        <v>4279</v>
      </c>
      <c r="H10" s="13">
        <f>SUM('QTD P&amp;L'!H9:K9)</f>
        <v>4606</v>
      </c>
      <c r="I10" s="13">
        <f>SUM('QTD P&amp;L'!I9:L9)</f>
        <v>4535</v>
      </c>
      <c r="J10" s="13">
        <f>SUM('QTD P&amp;L'!J9:M9)</f>
        <v>4577</v>
      </c>
      <c r="K10" s="13">
        <f>SUM('QTD P&amp;L'!K9:N9)</f>
        <v>4447</v>
      </c>
      <c r="L10" s="13">
        <f>SUM('QTD P&amp;L'!L9:O9)</f>
        <v>4588</v>
      </c>
      <c r="M10" s="13">
        <f>SUM('QTD P&amp;L'!M9:P9)</f>
        <v>4767</v>
      </c>
      <c r="N10" s="13">
        <f>SUM('QTD P&amp;L'!N9:Q9)</f>
        <v>4776</v>
      </c>
      <c r="O10" s="13">
        <v>4755</v>
      </c>
      <c r="P10" s="13">
        <f>SUM('QTD P&amp;L'!P9:S9)</f>
        <v>4479</v>
      </c>
    </row>
    <row r="11" spans="1:22">
      <c r="A11" s="8"/>
      <c r="B11" s="1" t="s">
        <v>234</v>
      </c>
      <c r="C11" s="9"/>
      <c r="D11" s="8"/>
      <c r="E11" s="528"/>
      <c r="F11" s="13"/>
      <c r="G11" s="528"/>
      <c r="H11" s="528"/>
      <c r="I11" s="528"/>
      <c r="J11" s="13"/>
      <c r="K11" s="528"/>
      <c r="L11" s="528"/>
      <c r="M11" s="528"/>
      <c r="N11" s="13"/>
      <c r="O11" s="13"/>
      <c r="P11" s="13"/>
    </row>
    <row r="12" spans="1:22" s="48" customFormat="1">
      <c r="A12" s="10"/>
      <c r="B12" s="2"/>
      <c r="C12" s="2" t="s">
        <v>248</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c r="P12" s="47">
        <f>SUM('QTD P&amp;L'!P11:S11)</f>
        <v>1091</v>
      </c>
    </row>
    <row r="13" spans="1:22" s="48" customFormat="1">
      <c r="A13" s="10"/>
      <c r="B13" s="2"/>
      <c r="C13" s="2" t="s">
        <v>284</v>
      </c>
      <c r="D13" s="10"/>
      <c r="E13" s="47">
        <f>SUM('QTD P&amp;L'!E12:H12)</f>
        <v>199</v>
      </c>
      <c r="F13" s="47">
        <f>SUM('QTD P&amp;L'!F12:I12)</f>
        <v>211</v>
      </c>
      <c r="G13" s="47">
        <v>212</v>
      </c>
      <c r="H13" s="47">
        <f>SUM('QTD P&amp;L'!H12:K12)</f>
        <v>216</v>
      </c>
      <c r="I13" s="47">
        <f>SUM('QTD P&amp;L'!I12:L12)</f>
        <v>218</v>
      </c>
      <c r="J13" s="47">
        <f>SUM('QTD P&amp;L'!J12:M12)</f>
        <v>224</v>
      </c>
      <c r="K13" s="47">
        <v>241</v>
      </c>
      <c r="L13" s="47">
        <f>SUM('QTD P&amp;L'!L12:O12)</f>
        <v>250</v>
      </c>
      <c r="M13" s="47">
        <f>SUM('QTD P&amp;L'!M12:P12)</f>
        <v>256</v>
      </c>
      <c r="N13" s="47">
        <f>SUM('QTD P&amp;L'!N12:Q12)</f>
        <v>254</v>
      </c>
      <c r="O13" s="47">
        <v>238</v>
      </c>
      <c r="P13" s="47">
        <f>SUM('QTD P&amp;L'!P12:S12)</f>
        <v>235</v>
      </c>
    </row>
    <row r="14" spans="1:22" s="48" customFormat="1">
      <c r="A14" s="10"/>
      <c r="B14" s="2"/>
      <c r="C14" s="2" t="s">
        <v>246</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c r="P14" s="47">
        <f>SUM('QTD P&amp;L'!P13:S13)</f>
        <v>187</v>
      </c>
    </row>
    <row r="15" spans="1:22" s="48" customFormat="1">
      <c r="A15" s="10"/>
      <c r="B15" s="2"/>
      <c r="C15" s="2" t="s">
        <v>247</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c r="P15" s="47">
        <f>SUM('QTD P&amp;L'!P14:S14)</f>
        <v>143</v>
      </c>
    </row>
    <row r="16" spans="1:22">
      <c r="A16" s="10"/>
      <c r="B16" s="10"/>
      <c r="C16" s="6" t="s">
        <v>47</v>
      </c>
      <c r="D16" s="10"/>
      <c r="E16" s="15">
        <f>SUM('QTD P&amp;L'!E15:H15)</f>
        <v>636</v>
      </c>
      <c r="F16" s="15">
        <f>SUM('QTD P&amp;L'!F15:I15)</f>
        <v>558</v>
      </c>
      <c r="G16" s="15">
        <v>627</v>
      </c>
      <c r="H16" s="15">
        <f>SUM('QTD P&amp;L'!H15:K15)</f>
        <v>646</v>
      </c>
      <c r="I16" s="15">
        <f>SUM('QTD P&amp;L'!I15:L15)</f>
        <v>622</v>
      </c>
      <c r="J16" s="15">
        <f>SUM('QTD P&amp;L'!J15:M15)</f>
        <v>618</v>
      </c>
      <c r="K16" s="15">
        <f>642-7</f>
        <v>635</v>
      </c>
      <c r="L16" s="15">
        <f>SUM('QTD P&amp;L'!L15:O15)</f>
        <v>632</v>
      </c>
      <c r="M16" s="15">
        <f>SUM('QTD P&amp;L'!M15:P15)</f>
        <v>649</v>
      </c>
      <c r="N16" s="15">
        <f>SUM('QTD P&amp;L'!N15:Q15)</f>
        <v>664</v>
      </c>
      <c r="O16" s="15">
        <v>646</v>
      </c>
      <c r="P16" s="15">
        <f>SUM('QTD P&amp;L'!P15:S15)</f>
        <v>629</v>
      </c>
    </row>
    <row r="17" spans="1:16">
      <c r="A17" s="10"/>
      <c r="B17" s="10"/>
      <c r="C17" s="6" t="s">
        <v>48</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520</v>
      </c>
      <c r="M17" s="15">
        <f>SUM('QTD P&amp;L'!M16:P16)</f>
        <v>485</v>
      </c>
      <c r="N17" s="15">
        <f>SUM('QTD P&amp;L'!N16:Q16)</f>
        <v>490</v>
      </c>
      <c r="O17" s="15">
        <v>545</v>
      </c>
      <c r="P17" s="15">
        <f>SUM('QTD P&amp;L'!P16:S16)</f>
        <v>565</v>
      </c>
    </row>
    <row r="18" spans="1:16">
      <c r="A18" s="10"/>
      <c r="B18" s="10"/>
      <c r="C18" s="6" t="s">
        <v>49</v>
      </c>
      <c r="D18" s="10"/>
      <c r="E18" s="15">
        <f>SUM('QTD P&amp;L'!E17:H17)</f>
        <v>393</v>
      </c>
      <c r="F18" s="15">
        <f>SUM('QTD P&amp;L'!F17:I17)</f>
        <v>405</v>
      </c>
      <c r="G18" s="15">
        <v>395</v>
      </c>
      <c r="H18" s="15">
        <f>SUM('QTD P&amp;L'!H17:K17)</f>
        <v>362</v>
      </c>
      <c r="I18" s="480">
        <f>SUM('QTD P&amp;L'!I17:L17)</f>
        <v>345</v>
      </c>
      <c r="J18" s="15">
        <f>SUM('QTD P&amp;L'!J17:M17)</f>
        <v>352</v>
      </c>
      <c r="K18" s="15">
        <f>364+11</f>
        <v>375</v>
      </c>
      <c r="L18" s="15">
        <f>SUM('QTD P&amp;L'!L17:O17)</f>
        <v>412</v>
      </c>
      <c r="M18" s="15">
        <f>SUM('QTD P&amp;L'!M17:P17)</f>
        <v>464</v>
      </c>
      <c r="N18" s="15">
        <f>SUM('QTD P&amp;L'!N17:Q17)</f>
        <v>455</v>
      </c>
      <c r="O18" s="15">
        <f>455+1</f>
        <v>456</v>
      </c>
      <c r="P18" s="15">
        <f>SUM('QTD P&amp;L'!P17:S17)</f>
        <v>455</v>
      </c>
    </row>
    <row r="19" spans="1:16">
      <c r="A19" s="10"/>
      <c r="B19" s="10"/>
      <c r="C19" s="6" t="s">
        <v>50</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c r="P19" s="15">
        <f>SUM('QTD P&amp;L'!P18:S18)</f>
        <v>7</v>
      </c>
    </row>
    <row r="20" spans="1:16" ht="16.5">
      <c r="A20" s="10"/>
      <c r="B20" s="10"/>
      <c r="C20" s="6" t="s">
        <v>51</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16">
        <f>SUM('QTD P&amp;L'!O19:R19)</f>
        <v>0</v>
      </c>
      <c r="P20" s="16">
        <f>SUM('QTD P&amp;L'!P19:S19)</f>
        <v>0</v>
      </c>
    </row>
    <row r="21" spans="1:16" ht="16.5">
      <c r="A21" s="10"/>
      <c r="B21" s="10"/>
      <c r="C21" s="10"/>
      <c r="D21" s="10" t="s">
        <v>233</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SUM(N12:N20)</f>
        <v>3870</v>
      </c>
      <c r="O21" s="16">
        <f>SUM(O12:O20)</f>
        <v>3427</v>
      </c>
      <c r="P21" s="16">
        <f>SUM(P12:P20)</f>
        <v>3312</v>
      </c>
    </row>
    <row r="22" spans="1:16">
      <c r="A22" s="11"/>
      <c r="B22" s="25" t="s">
        <v>1</v>
      </c>
      <c r="C22" s="3"/>
      <c r="D22" s="11"/>
      <c r="E22" s="14">
        <f t="shared" ref="E22:M22" si="1">+E10-E21</f>
        <v>55</v>
      </c>
      <c r="F22" s="14">
        <f t="shared" si="1"/>
        <v>258</v>
      </c>
      <c r="G22" s="14">
        <f t="shared" si="1"/>
        <v>-26</v>
      </c>
      <c r="H22" s="14">
        <f t="shared" si="1"/>
        <v>306</v>
      </c>
      <c r="I22" s="14">
        <f t="shared" si="1"/>
        <v>388</v>
      </c>
      <c r="J22" s="14">
        <f t="shared" si="1"/>
        <v>434</v>
      </c>
      <c r="K22" s="14">
        <f t="shared" si="1"/>
        <v>469</v>
      </c>
      <c r="L22" s="14">
        <f t="shared" si="1"/>
        <v>632</v>
      </c>
      <c r="M22" s="14">
        <f t="shared" si="1"/>
        <v>799</v>
      </c>
      <c r="N22" s="14">
        <f>+N10-N21</f>
        <v>906</v>
      </c>
      <c r="O22" s="14">
        <f>+O10-O21</f>
        <v>1328</v>
      </c>
      <c r="P22" s="14">
        <f>+P10-P21</f>
        <v>1167</v>
      </c>
    </row>
    <row r="23" spans="1:16" ht="16.5">
      <c r="A23" s="12"/>
      <c r="B23" s="2" t="s">
        <v>279</v>
      </c>
      <c r="C23" s="12"/>
      <c r="D23" s="12"/>
      <c r="E23" s="16">
        <f>SUM('QTD P&amp;L'!E22:H22)</f>
        <v>52</v>
      </c>
      <c r="F23" s="16">
        <f>SUM('QTD P&amp;L'!F22:I22)</f>
        <v>39</v>
      </c>
      <c r="G23" s="16">
        <f>SUM('QTD P&amp;L'!G22:J22)</f>
        <v>18</v>
      </c>
      <c r="H23" s="16">
        <f>SUM('QTD P&amp;L'!H22:K22)</f>
        <v>8</v>
      </c>
      <c r="I23" s="16">
        <f>SUM('QTD P&amp;L'!I22:L22)</f>
        <v>9</v>
      </c>
      <c r="J23" s="16">
        <f>SUM('QTD P&amp;L'!J22:M22)</f>
        <v>12</v>
      </c>
      <c r="K23" s="16">
        <f>SUM('QTD P&amp;L'!K22:N22)</f>
        <v>23</v>
      </c>
      <c r="L23" s="16">
        <f>SUM('QTD P&amp;L'!L22:O22)</f>
        <v>25</v>
      </c>
      <c r="M23" s="16">
        <f>SUM('QTD P&amp;L'!M22:P22)</f>
        <v>26</v>
      </c>
      <c r="N23" s="16">
        <f>SUM('QTD P&amp;L'!N22:Q22)</f>
        <v>15</v>
      </c>
      <c r="O23" s="16">
        <v>3</v>
      </c>
      <c r="P23" s="16">
        <f>SUM('QTD P&amp;L'!P22:S22)</f>
        <v>1</v>
      </c>
    </row>
    <row r="24" spans="1:16">
      <c r="A24" s="12"/>
      <c r="B24" s="22" t="s">
        <v>52</v>
      </c>
      <c r="C24" s="4"/>
      <c r="D24" s="12"/>
      <c r="E24" s="15">
        <f t="shared" ref="E24:M24" si="2">SUM(E22:E23)</f>
        <v>107</v>
      </c>
      <c r="F24" s="15">
        <f t="shared" si="2"/>
        <v>297</v>
      </c>
      <c r="G24" s="15">
        <f t="shared" si="2"/>
        <v>-8</v>
      </c>
      <c r="H24" s="15">
        <f t="shared" si="2"/>
        <v>314</v>
      </c>
      <c r="I24" s="15">
        <f t="shared" si="2"/>
        <v>397</v>
      </c>
      <c r="J24" s="15">
        <f t="shared" si="2"/>
        <v>446</v>
      </c>
      <c r="K24" s="15">
        <f t="shared" si="2"/>
        <v>492</v>
      </c>
      <c r="L24" s="15">
        <f t="shared" si="2"/>
        <v>657</v>
      </c>
      <c r="M24" s="15">
        <f t="shared" si="2"/>
        <v>825</v>
      </c>
      <c r="N24" s="15">
        <f>SUM(N22:N23)</f>
        <v>921</v>
      </c>
      <c r="O24" s="15">
        <f>SUM(O22:O23)</f>
        <v>1331</v>
      </c>
      <c r="P24" s="15">
        <f>SUM(P22:P23)</f>
        <v>1168</v>
      </c>
    </row>
    <row r="25" spans="1:16" ht="16.5">
      <c r="A25" s="12"/>
      <c r="B25" s="2" t="s">
        <v>53</v>
      </c>
      <c r="C25" s="4"/>
      <c r="D25" s="12"/>
      <c r="E25" s="16">
        <f>SUM('QTD P&amp;L'!E24:H24)</f>
        <v>-97</v>
      </c>
      <c r="F25" s="16">
        <f>SUM('QTD P&amp;L'!F24:I24)</f>
        <v>-30</v>
      </c>
      <c r="G25" s="16">
        <f>SUM('QTD P&amp;L'!G24:J24)</f>
        <v>-121</v>
      </c>
      <c r="H25" s="16">
        <f>SUM('QTD P&amp;L'!H24:K24)</f>
        <v>9</v>
      </c>
      <c r="I25" s="16">
        <f>SUM('QTD P&amp;L'!I24:L24)</f>
        <v>68</v>
      </c>
      <c r="J25" s="16">
        <f>SUM('QTD P&amp;L'!J24:M24)</f>
        <v>81</v>
      </c>
      <c r="K25" s="16">
        <f>SUM('QTD P&amp;L'!K24:N24)</f>
        <v>74</v>
      </c>
      <c r="L25" s="16">
        <f>SUM('QTD P&amp;L'!L24:O24)</f>
        <v>117</v>
      </c>
      <c r="M25" s="16">
        <f>SUM('QTD P&amp;L'!M24:P24)</f>
        <v>169</v>
      </c>
      <c r="N25" s="16">
        <f>SUM('QTD P&amp;L'!N24:Q24)</f>
        <v>168</v>
      </c>
      <c r="O25" s="16">
        <v>246</v>
      </c>
      <c r="P25" s="16">
        <f>SUM('QTD P&amp;L'!P24:S24)</f>
        <v>202</v>
      </c>
    </row>
    <row r="26" spans="1:16" ht="16.5">
      <c r="A26" s="9"/>
      <c r="B26" s="25" t="s">
        <v>2</v>
      </c>
      <c r="C26" s="9"/>
      <c r="D26" s="9"/>
      <c r="E26" s="17">
        <f t="shared" ref="E26:M26" si="3">E24-E25</f>
        <v>204</v>
      </c>
      <c r="F26" s="17">
        <f t="shared" si="3"/>
        <v>327</v>
      </c>
      <c r="G26" s="17">
        <f t="shared" si="3"/>
        <v>113</v>
      </c>
      <c r="H26" s="17">
        <f t="shared" si="3"/>
        <v>305</v>
      </c>
      <c r="I26" s="17">
        <f t="shared" si="3"/>
        <v>329</v>
      </c>
      <c r="J26" s="17">
        <f t="shared" si="3"/>
        <v>365</v>
      </c>
      <c r="K26" s="17">
        <f t="shared" si="3"/>
        <v>418</v>
      </c>
      <c r="L26" s="17">
        <f t="shared" si="3"/>
        <v>540</v>
      </c>
      <c r="M26" s="17">
        <f t="shared" si="3"/>
        <v>656</v>
      </c>
      <c r="N26" s="17">
        <f>N24-N25</f>
        <v>753</v>
      </c>
      <c r="O26" s="17">
        <f>O24-O25</f>
        <v>1085</v>
      </c>
      <c r="P26" s="17">
        <f>P24-P25</f>
        <v>966</v>
      </c>
    </row>
    <row r="27" spans="1:16" ht="9.75" customHeight="1">
      <c r="A27" s="9"/>
      <c r="B27" s="25"/>
      <c r="C27" s="9"/>
      <c r="D27" s="9"/>
      <c r="E27" s="529"/>
      <c r="F27" s="17"/>
      <c r="G27" s="529"/>
      <c r="H27" s="529"/>
      <c r="I27" s="529"/>
      <c r="J27" s="17"/>
      <c r="K27" s="529"/>
      <c r="L27" s="529"/>
      <c r="M27" s="529"/>
      <c r="N27" s="17"/>
      <c r="O27" s="17"/>
      <c r="P27" s="17"/>
    </row>
    <row r="28" spans="1:16" s="52" customFormat="1">
      <c r="A28" s="62"/>
      <c r="B28" s="63" t="s">
        <v>32</v>
      </c>
      <c r="C28" s="63"/>
      <c r="D28" s="63"/>
      <c r="E28" s="530"/>
      <c r="F28" s="64"/>
      <c r="G28" s="530"/>
      <c r="H28" s="530"/>
      <c r="I28" s="530"/>
      <c r="J28" s="64"/>
      <c r="K28" s="530"/>
      <c r="L28" s="530"/>
      <c r="M28" s="530"/>
      <c r="N28" s="64"/>
      <c r="O28" s="64"/>
      <c r="P28" s="64"/>
    </row>
    <row r="29" spans="1:16" s="52" customFormat="1">
      <c r="A29" s="62"/>
      <c r="B29" s="63"/>
      <c r="C29" s="522" t="s">
        <v>34</v>
      </c>
      <c r="D29" s="63"/>
      <c r="E29" s="66">
        <f>SUM('QTD P&amp;L'!E28:H28)</f>
        <v>0.16</v>
      </c>
      <c r="F29" s="66">
        <f>SUM('QTD P&amp;L'!F28:I28)</f>
        <v>0.25</v>
      </c>
      <c r="G29" s="66">
        <v>9.0000000000000038E-2</v>
      </c>
      <c r="H29" s="66">
        <f>SUM('QTD P&amp;L'!H28:K28)</f>
        <v>0.22999999999999998</v>
      </c>
      <c r="I29" s="66">
        <f>SUM('QTD P&amp;L'!I28:L28)</f>
        <v>0.26</v>
      </c>
      <c r="J29" s="66">
        <f>SUM('QTD P&amp;L'!J28:M28)</f>
        <v>0.28999999999999998</v>
      </c>
      <c r="K29" s="66">
        <v>0.34</v>
      </c>
      <c r="L29" s="66">
        <f>SUM('QTD P&amp;L'!L28:O28)</f>
        <v>0.43999999999999995</v>
      </c>
      <c r="M29" s="66">
        <f>SUM('QTD P&amp;L'!M28:P28)</f>
        <v>0.55000000000000004</v>
      </c>
      <c r="N29" s="66">
        <f>SUM('QTD P&amp;L'!N28:Q28)</f>
        <v>0.64</v>
      </c>
      <c r="O29" s="66">
        <f>SUM('QTD P&amp;L'!O28:R28)</f>
        <v>0.92999999999999994</v>
      </c>
      <c r="P29" s="66">
        <f>SUM('QTD P&amp;L'!P28:S28)</f>
        <v>0.85000000000000009</v>
      </c>
    </row>
    <row r="30" spans="1:16" s="52" customFormat="1">
      <c r="A30" s="62"/>
      <c r="B30" s="63"/>
      <c r="C30" s="522" t="s">
        <v>35</v>
      </c>
      <c r="D30" s="63"/>
      <c r="E30" s="66">
        <f>SUM('QTD P&amp;L'!E29:H29)</f>
        <v>0.16</v>
      </c>
      <c r="F30" s="66">
        <f>SUM('QTD P&amp;L'!F29:I29)</f>
        <v>0.25</v>
      </c>
      <c r="G30" s="66">
        <v>9.0000000000000038E-2</v>
      </c>
      <c r="H30" s="66">
        <f>SUM('QTD P&amp;L'!H29:K29)</f>
        <v>0.22999999999999998</v>
      </c>
      <c r="I30" s="66">
        <f>SUM('QTD P&amp;L'!I29:L29)</f>
        <v>0.25</v>
      </c>
      <c r="J30" s="66">
        <f>SUM('QTD P&amp;L'!J29:M29)</f>
        <v>0.27999999999999997</v>
      </c>
      <c r="K30" s="66">
        <v>0.33</v>
      </c>
      <c r="L30" s="66">
        <f>SUM('QTD P&amp;L'!L29:O29)</f>
        <v>0.43</v>
      </c>
      <c r="M30" s="66">
        <f>SUM('QTD P&amp;L'!M29:P29)</f>
        <v>0.55000000000000004</v>
      </c>
      <c r="N30" s="66">
        <f>SUM('QTD P&amp;L'!N29:Q29)</f>
        <v>0.64</v>
      </c>
      <c r="O30" s="66">
        <f>SUM('QTD P&amp;L'!O29:R29)</f>
        <v>0.91999999999999993</v>
      </c>
      <c r="P30" s="66">
        <f>SUM('QTD P&amp;L'!P29:S29)</f>
        <v>0.83000000000000007</v>
      </c>
    </row>
    <row r="31" spans="1:16" s="52" customFormat="1" ht="4.1500000000000004" customHeight="1">
      <c r="A31" s="62"/>
      <c r="B31" s="63"/>
      <c r="C31" s="63"/>
      <c r="D31" s="63"/>
      <c r="E31" s="531"/>
      <c r="G31" s="531"/>
      <c r="H31" s="531"/>
      <c r="I31" s="531"/>
      <c r="K31" s="531"/>
      <c r="L31" s="531"/>
      <c r="M31" s="481"/>
      <c r="N31" s="481"/>
      <c r="O31" s="481"/>
      <c r="P31" s="481"/>
    </row>
    <row r="32" spans="1:16" s="52" customFormat="1">
      <c r="A32" s="62"/>
      <c r="B32" s="67" t="s">
        <v>33</v>
      </c>
      <c r="C32" s="62"/>
      <c r="D32" s="63"/>
      <c r="E32" s="531"/>
      <c r="G32" s="531"/>
      <c r="H32" s="531"/>
      <c r="I32" s="531"/>
      <c r="K32" s="531"/>
      <c r="L32" s="531"/>
      <c r="M32" s="481"/>
      <c r="N32" s="481"/>
      <c r="O32" s="481"/>
      <c r="P32" s="481"/>
    </row>
    <row r="33" spans="1:16" s="52" customFormat="1">
      <c r="A33" s="62"/>
      <c r="B33" s="63"/>
      <c r="C33" s="65" t="s">
        <v>34</v>
      </c>
      <c r="D33" s="63"/>
      <c r="E33" s="68">
        <f>AVERAGE('QTD P&amp;L'!E32:H32)</f>
        <v>1298.5</v>
      </c>
      <c r="F33" s="68">
        <f>AVERAGE('QTD P&amp;L'!F32:I32)</f>
        <v>1298.5</v>
      </c>
      <c r="G33" s="68">
        <f>AVERAGE('QTD P&amp;L'!G32:J32)</f>
        <v>1283.25</v>
      </c>
      <c r="H33" s="68">
        <f>AVERAGE('QTD P&amp;L'!H32:K32)</f>
        <v>1268.25</v>
      </c>
      <c r="I33" s="68">
        <f>AVERAGE('QTD P&amp;L'!I32:L32)</f>
        <v>1254</v>
      </c>
      <c r="J33" s="68">
        <f>AVERAGE('QTD P&amp;L'!J32:M32)</f>
        <v>1239.25</v>
      </c>
      <c r="K33" s="68">
        <v>1222</v>
      </c>
      <c r="L33" s="68">
        <f>AVERAGE('QTD P&amp;L'!L32:O32)</f>
        <v>1203.75</v>
      </c>
      <c r="M33" s="68">
        <f>AVERAGE('QTD P&amp;L'!M32:P32)</f>
        <v>1181</v>
      </c>
      <c r="N33" s="68">
        <f>AVERAGE('QTD P&amp;L'!N32:Q32)</f>
        <v>1163</v>
      </c>
      <c r="O33" s="68">
        <v>1148</v>
      </c>
      <c r="P33" s="68">
        <f>AVERAGE('QTD P&amp;L'!P32:S32)</f>
        <v>1135</v>
      </c>
    </row>
    <row r="34" spans="1:16" s="52" customFormat="1">
      <c r="A34" s="62"/>
      <c r="B34" s="63"/>
      <c r="C34" s="65" t="s">
        <v>35</v>
      </c>
      <c r="D34" s="63"/>
      <c r="E34" s="68">
        <f>AVERAGE('QTD P&amp;L'!E33:H33)</f>
        <v>1322</v>
      </c>
      <c r="F34" s="68">
        <f>AVERAGE('QTD P&amp;L'!F33:I33)</f>
        <v>1328.5</v>
      </c>
      <c r="G34" s="68">
        <f>AVERAGE('QTD P&amp;L'!G33:J33)</f>
        <v>1313.25</v>
      </c>
      <c r="H34" s="68">
        <f>AVERAGE('QTD P&amp;L'!H33:K33)</f>
        <v>1289.5</v>
      </c>
      <c r="I34" s="68">
        <f>AVERAGE('QTD P&amp;L'!I33:L33)</f>
        <v>1268.5</v>
      </c>
      <c r="J34" s="68">
        <f>AVERAGE('QTD P&amp;L'!J33:M33)</f>
        <v>1251</v>
      </c>
      <c r="K34" s="68">
        <v>1236</v>
      </c>
      <c r="L34" s="68">
        <f>AVERAGE('QTD P&amp;L'!L33:O33)</f>
        <v>1213.75</v>
      </c>
      <c r="M34" s="68">
        <f>AVERAGE('QTD P&amp;L'!M33:P33)</f>
        <v>1189.25</v>
      </c>
      <c r="N34" s="68">
        <f>AVERAGE('QTD P&amp;L'!N33:Q33)</f>
        <v>1169.5</v>
      </c>
      <c r="O34" s="68">
        <v>1156</v>
      </c>
      <c r="P34" s="68">
        <f>AVERAGE('QTD P&amp;L'!P33:S33)</f>
        <v>1143</v>
      </c>
    </row>
    <row r="35" spans="1:16" s="52" customFormat="1">
      <c r="A35" s="62"/>
      <c r="B35" s="63"/>
      <c r="C35" s="65"/>
      <c r="D35" s="63"/>
      <c r="E35" s="70"/>
      <c r="F35" s="70"/>
      <c r="G35" s="70"/>
      <c r="H35" s="70"/>
      <c r="I35" s="70"/>
      <c r="J35" s="70"/>
      <c r="K35" s="70"/>
      <c r="L35" s="70"/>
      <c r="M35" s="482"/>
      <c r="N35" s="482"/>
      <c r="O35" s="482"/>
      <c r="P35" s="482"/>
    </row>
    <row r="36" spans="1:16">
      <c r="A36" s="20" t="s">
        <v>38</v>
      </c>
      <c r="B36" s="29"/>
      <c r="C36" s="18"/>
      <c r="D36" s="29"/>
      <c r="E36" s="34"/>
      <c r="F36" s="34"/>
      <c r="G36" s="34"/>
      <c r="H36" s="34"/>
      <c r="I36" s="34"/>
      <c r="J36" s="34"/>
      <c r="K36" s="34"/>
      <c r="L36" s="34"/>
      <c r="M36" s="483"/>
      <c r="N36" s="483"/>
      <c r="O36" s="483"/>
      <c r="P36" s="483"/>
    </row>
    <row r="37" spans="1:16">
      <c r="A37" s="32"/>
      <c r="B37" s="29"/>
      <c r="C37" s="18"/>
      <c r="D37" s="29"/>
      <c r="E37" s="19" t="str">
        <f t="shared" ref="E37:M38" si="4">E6</f>
        <v>Q2</v>
      </c>
      <c r="F37" s="19" t="str">
        <f t="shared" si="4"/>
        <v>Q3</v>
      </c>
      <c r="G37" s="19" t="str">
        <f t="shared" si="4"/>
        <v>Q4</v>
      </c>
      <c r="H37" s="19" t="str">
        <f t="shared" si="4"/>
        <v>Q1</v>
      </c>
      <c r="I37" s="19" t="str">
        <f t="shared" si="4"/>
        <v>Q2</v>
      </c>
      <c r="J37" s="19" t="str">
        <f t="shared" si="4"/>
        <v>Q3</v>
      </c>
      <c r="K37" s="19" t="str">
        <f t="shared" si="4"/>
        <v>Q4</v>
      </c>
      <c r="L37" s="19" t="str">
        <f t="shared" si="4"/>
        <v>Q1</v>
      </c>
      <c r="M37" s="19" t="str">
        <f t="shared" si="4"/>
        <v>Q2</v>
      </c>
      <c r="N37" s="19" t="str">
        <f t="shared" ref="N37:O37" si="5">N6</f>
        <v>Q3</v>
      </c>
      <c r="O37" s="19" t="str">
        <f t="shared" si="5"/>
        <v>Q4</v>
      </c>
      <c r="P37" s="19" t="str">
        <f t="shared" ref="P37" si="6">P6</f>
        <v>Q1</v>
      </c>
    </row>
    <row r="38" spans="1:16">
      <c r="A38" s="32"/>
      <c r="B38" s="29"/>
      <c r="C38" s="18"/>
      <c r="D38" s="29"/>
      <c r="E38" s="19" t="str">
        <f t="shared" si="4"/>
        <v>CY09</v>
      </c>
      <c r="F38" s="19" t="str">
        <f t="shared" si="4"/>
        <v>CY09</v>
      </c>
      <c r="G38" s="19" t="str">
        <f t="shared" si="4"/>
        <v>CY09</v>
      </c>
      <c r="H38" s="19" t="str">
        <f t="shared" si="4"/>
        <v>CY10</v>
      </c>
      <c r="I38" s="19" t="str">
        <f t="shared" si="4"/>
        <v>CY10</v>
      </c>
      <c r="J38" s="19" t="str">
        <f t="shared" si="4"/>
        <v>CY10</v>
      </c>
      <c r="K38" s="19" t="str">
        <f t="shared" si="4"/>
        <v>CY10</v>
      </c>
      <c r="L38" s="19" t="str">
        <f t="shared" si="4"/>
        <v>CY11</v>
      </c>
      <c r="M38" s="19" t="str">
        <f t="shared" si="4"/>
        <v>CY11</v>
      </c>
      <c r="N38" s="19" t="str">
        <f t="shared" ref="N38:O38" si="7">N7</f>
        <v>CY11</v>
      </c>
      <c r="O38" s="19" t="str">
        <f t="shared" si="7"/>
        <v>CY11</v>
      </c>
      <c r="P38" s="19" t="str">
        <f t="shared" ref="P38" si="8">P7</f>
        <v>CY12</v>
      </c>
    </row>
    <row r="39" spans="1:16">
      <c r="A39" s="32"/>
      <c r="B39" s="29"/>
      <c r="C39" s="18"/>
      <c r="D39" s="29"/>
      <c r="E39" s="45" t="s">
        <v>252</v>
      </c>
      <c r="F39" s="45" t="s">
        <v>252</v>
      </c>
      <c r="G39" s="45" t="s">
        <v>252</v>
      </c>
      <c r="H39" s="45" t="s">
        <v>252</v>
      </c>
      <c r="I39" s="45" t="s">
        <v>252</v>
      </c>
      <c r="J39" s="45" t="s">
        <v>252</v>
      </c>
      <c r="K39" s="45" t="s">
        <v>252</v>
      </c>
      <c r="L39" s="45" t="s">
        <v>252</v>
      </c>
      <c r="M39" s="45" t="s">
        <v>252</v>
      </c>
      <c r="N39" s="45" t="s">
        <v>252</v>
      </c>
      <c r="O39" s="45" t="s">
        <v>252</v>
      </c>
      <c r="P39" s="45" t="s">
        <v>252</v>
      </c>
    </row>
    <row r="40" spans="1:16">
      <c r="A40" s="32"/>
      <c r="B40" s="29"/>
      <c r="C40" s="18"/>
      <c r="D40" s="29"/>
      <c r="E40" s="34"/>
      <c r="F40" s="34"/>
      <c r="G40" s="34"/>
      <c r="H40" s="34"/>
      <c r="I40" s="34"/>
      <c r="J40" s="34"/>
      <c r="K40" s="34"/>
      <c r="L40" s="34"/>
      <c r="M40" s="34"/>
      <c r="N40" s="34"/>
      <c r="O40" s="34"/>
      <c r="P40" s="34"/>
    </row>
    <row r="41" spans="1:16">
      <c r="A41" s="32"/>
      <c r="B41" s="1" t="s">
        <v>234</v>
      </c>
      <c r="C41" s="18"/>
      <c r="D41" s="29"/>
      <c r="E41" s="34"/>
      <c r="F41" s="34"/>
      <c r="G41" s="34"/>
      <c r="H41" s="34"/>
      <c r="I41" s="34"/>
      <c r="J41" s="34"/>
      <c r="K41" s="34"/>
      <c r="L41" s="34"/>
      <c r="M41" s="34"/>
      <c r="N41" s="34"/>
      <c r="O41" s="34"/>
      <c r="P41" s="34"/>
    </row>
    <row r="42" spans="1:16" s="48" customFormat="1">
      <c r="A42" s="10"/>
      <c r="C42" s="2" t="s">
        <v>248</v>
      </c>
      <c r="D42" s="10"/>
      <c r="E42" s="39">
        <f t="shared" ref="E42:M42" si="9">E12/E$10</f>
        <v>0.38017853055619133</v>
      </c>
      <c r="F42" s="39">
        <f t="shared" si="9"/>
        <v>0.35932125659252467</v>
      </c>
      <c r="G42" s="39">
        <f t="shared" si="9"/>
        <v>0.33465763028745033</v>
      </c>
      <c r="H42" s="39">
        <f t="shared" si="9"/>
        <v>0.31980026052974381</v>
      </c>
      <c r="I42" s="39">
        <f t="shared" si="9"/>
        <v>0.31466372657111358</v>
      </c>
      <c r="J42" s="39">
        <f t="shared" si="9"/>
        <v>0.31374262617435</v>
      </c>
      <c r="K42" s="39">
        <f t="shared" si="9"/>
        <v>0.30357544411963122</v>
      </c>
      <c r="L42" s="39">
        <f t="shared" si="9"/>
        <v>0.28618134263295553</v>
      </c>
      <c r="M42" s="39">
        <f t="shared" si="9"/>
        <v>0.27082022236207259</v>
      </c>
      <c r="N42" s="39">
        <f t="shared" ref="N42:O56" si="10">N12/N$10</f>
        <v>0.25858458961474035</v>
      </c>
      <c r="O42" s="39">
        <f t="shared" si="10"/>
        <v>0.2384858044164038</v>
      </c>
      <c r="P42" s="39">
        <f t="shared" ref="P42:P56" si="11">P12/P$10</f>
        <v>0.24358115650814913</v>
      </c>
    </row>
    <row r="43" spans="1:16" s="48" customFormat="1">
      <c r="A43" s="10"/>
      <c r="C43" s="2" t="s">
        <v>284</v>
      </c>
      <c r="D43" s="10"/>
      <c r="E43" s="39">
        <f t="shared" ref="E43:M43" si="12">E13/E$10</f>
        <v>4.5548180361638817E-2</v>
      </c>
      <c r="F43" s="39">
        <f t="shared" si="12"/>
        <v>4.8383398303141478E-2</v>
      </c>
      <c r="G43" s="39">
        <f t="shared" si="12"/>
        <v>4.9544286048142087E-2</v>
      </c>
      <c r="H43" s="39">
        <f t="shared" si="12"/>
        <v>4.6895353886235343E-2</v>
      </c>
      <c r="I43" s="39">
        <f t="shared" si="12"/>
        <v>4.8070562293274534E-2</v>
      </c>
      <c r="J43" s="39">
        <f t="shared" si="12"/>
        <v>4.89403539436312E-2</v>
      </c>
      <c r="K43" s="39">
        <f t="shared" si="12"/>
        <v>5.4193838542837866E-2</v>
      </c>
      <c r="L43" s="39">
        <f t="shared" si="12"/>
        <v>5.4489973844812557E-2</v>
      </c>
      <c r="M43" s="39">
        <f t="shared" si="12"/>
        <v>5.370253828403608E-2</v>
      </c>
      <c r="N43" s="39">
        <f t="shared" si="10"/>
        <v>5.3182579564489109E-2</v>
      </c>
      <c r="O43" s="39">
        <f t="shared" si="10"/>
        <v>5.0052576235541532E-2</v>
      </c>
      <c r="P43" s="39">
        <f t="shared" si="11"/>
        <v>5.2467068542085285E-2</v>
      </c>
    </row>
    <row r="44" spans="1:16" s="48" customFormat="1">
      <c r="A44" s="10"/>
      <c r="C44" s="2" t="s">
        <v>246</v>
      </c>
      <c r="D44" s="10"/>
      <c r="E44" s="39">
        <f t="shared" ref="E44:M44" si="13">E14/E$10</f>
        <v>8.8578622110322733E-2</v>
      </c>
      <c r="F44" s="39">
        <f t="shared" si="13"/>
        <v>8.9658335244210047E-2</v>
      </c>
      <c r="G44" s="39">
        <f t="shared" si="13"/>
        <v>8.1327412946950228E-2</v>
      </c>
      <c r="H44" s="39">
        <f t="shared" si="13"/>
        <v>8.1415544941380813E-2</v>
      </c>
      <c r="I44" s="39">
        <f t="shared" si="13"/>
        <v>7.4972436604189632E-2</v>
      </c>
      <c r="J44" s="39">
        <f t="shared" si="13"/>
        <v>7.5813851868035825E-2</v>
      </c>
      <c r="K44" s="39">
        <f t="shared" si="13"/>
        <v>7.6006296379581742E-2</v>
      </c>
      <c r="L44" s="39">
        <f t="shared" si="13"/>
        <v>6.560592850915431E-2</v>
      </c>
      <c r="M44" s="39">
        <f t="shared" si="13"/>
        <v>6.2303335431088736E-2</v>
      </c>
      <c r="N44" s="39">
        <f t="shared" si="10"/>
        <v>5.443886097152429E-2</v>
      </c>
      <c r="O44" s="39">
        <f t="shared" si="10"/>
        <v>4.5846477392218719E-2</v>
      </c>
      <c r="P44" s="39">
        <f t="shared" si="11"/>
        <v>4.1750390712212544E-2</v>
      </c>
    </row>
    <row r="45" spans="1:16" s="48" customFormat="1">
      <c r="A45" s="10"/>
      <c r="C45" s="2" t="s">
        <v>247</v>
      </c>
      <c r="D45" s="10"/>
      <c r="E45" s="39">
        <f t="shared" ref="E45:M45" si="14">E15/E$10</f>
        <v>7.5074387731746392E-2</v>
      </c>
      <c r="F45" s="39">
        <f t="shared" si="14"/>
        <v>7.7275854161889479E-2</v>
      </c>
      <c r="G45" s="39">
        <f t="shared" si="14"/>
        <v>7.3615330684739425E-2</v>
      </c>
      <c r="H45" s="39">
        <f t="shared" si="14"/>
        <v>6.3829787234042548E-2</v>
      </c>
      <c r="I45" s="39">
        <f t="shared" si="14"/>
        <v>5.9316427783902975E-2</v>
      </c>
      <c r="J45" s="39">
        <f t="shared" si="14"/>
        <v>5.6150316801398294E-2</v>
      </c>
      <c r="K45" s="39">
        <f t="shared" si="14"/>
        <v>4.4299527771531372E-2</v>
      </c>
      <c r="L45" s="39">
        <f t="shared" si="14"/>
        <v>3.9886660854402789E-2</v>
      </c>
      <c r="M45" s="39">
        <f t="shared" si="14"/>
        <v>3.7340046150618839E-2</v>
      </c>
      <c r="N45" s="39">
        <f t="shared" si="10"/>
        <v>3.3710217755443889E-2</v>
      </c>
      <c r="O45" s="39">
        <f t="shared" si="10"/>
        <v>3.4700315457413249E-2</v>
      </c>
      <c r="P45" s="39">
        <f t="shared" si="11"/>
        <v>3.1926769368162536E-2</v>
      </c>
    </row>
    <row r="46" spans="1:16">
      <c r="A46" s="10"/>
      <c r="B46" s="10"/>
      <c r="C46" s="6" t="s">
        <v>47</v>
      </c>
      <c r="D46" s="10"/>
      <c r="E46" s="39">
        <f t="shared" ref="E46:M46" si="15">E16/E$10</f>
        <v>0.14557106889448387</v>
      </c>
      <c r="F46" s="39">
        <f t="shared" si="15"/>
        <v>0.12795230451731254</v>
      </c>
      <c r="G46" s="39">
        <f t="shared" si="15"/>
        <v>0.14652956298200515</v>
      </c>
      <c r="H46" s="39">
        <f t="shared" si="15"/>
        <v>0.14025184541901867</v>
      </c>
      <c r="I46" s="39">
        <f t="shared" si="15"/>
        <v>0.13715545755237046</v>
      </c>
      <c r="J46" s="39">
        <f t="shared" si="15"/>
        <v>0.13502294079091107</v>
      </c>
      <c r="K46" s="39">
        <f t="shared" si="15"/>
        <v>0.1427928940859006</v>
      </c>
      <c r="L46" s="39">
        <f t="shared" si="15"/>
        <v>0.13775065387968613</v>
      </c>
      <c r="M46" s="39">
        <f t="shared" si="15"/>
        <v>0.13614432557163836</v>
      </c>
      <c r="N46" s="39">
        <f t="shared" si="10"/>
        <v>0.13902847571189281</v>
      </c>
      <c r="O46" s="39">
        <f t="shared" si="10"/>
        <v>0.13585699263932702</v>
      </c>
      <c r="P46" s="39">
        <f t="shared" si="11"/>
        <v>0.14043313239562402</v>
      </c>
    </row>
    <row r="47" spans="1:16">
      <c r="A47" s="10"/>
      <c r="B47" s="10"/>
      <c r="C47" s="6" t="s">
        <v>48</v>
      </c>
      <c r="D47" s="10"/>
      <c r="E47" s="39">
        <f t="shared" ref="E47:M56" si="16">E17/E$10</f>
        <v>0.13435568780041199</v>
      </c>
      <c r="F47" s="39">
        <f t="shared" si="16"/>
        <v>0.13139188259573492</v>
      </c>
      <c r="G47" s="39">
        <f t="shared" si="16"/>
        <v>0.12713250759523254</v>
      </c>
      <c r="H47" s="39">
        <f t="shared" si="16"/>
        <v>0.11224489795918367</v>
      </c>
      <c r="I47" s="39">
        <f t="shared" si="16"/>
        <v>0.1155457552370452</v>
      </c>
      <c r="J47" s="39">
        <f t="shared" si="16"/>
        <v>0.11055276381909548</v>
      </c>
      <c r="K47" s="39">
        <f t="shared" si="16"/>
        <v>0.11603328086350348</v>
      </c>
      <c r="L47" s="39">
        <f t="shared" si="16"/>
        <v>0.11333914559721012</v>
      </c>
      <c r="M47" s="39">
        <f t="shared" si="16"/>
        <v>0.10174113698342774</v>
      </c>
      <c r="N47" s="39">
        <f t="shared" si="10"/>
        <v>0.1025963149078727</v>
      </c>
      <c r="O47" s="39">
        <f t="shared" si="10"/>
        <v>0.11461619348054679</v>
      </c>
      <c r="P47" s="39">
        <f t="shared" si="11"/>
        <v>0.12614422862246036</v>
      </c>
    </row>
    <row r="48" spans="1:16">
      <c r="A48" s="10"/>
      <c r="B48" s="10"/>
      <c r="C48" s="6" t="s">
        <v>49</v>
      </c>
      <c r="D48" s="10"/>
      <c r="E48" s="39">
        <f t="shared" si="16"/>
        <v>8.9951934081025406E-2</v>
      </c>
      <c r="F48" s="39">
        <f t="shared" si="16"/>
        <v>9.2868608117404258E-2</v>
      </c>
      <c r="G48" s="39">
        <f t="shared" si="16"/>
        <v>9.2311287684038332E-2</v>
      </c>
      <c r="H48" s="39">
        <f t="shared" si="16"/>
        <v>7.8593139383412947E-2</v>
      </c>
      <c r="I48" s="39">
        <f t="shared" si="16"/>
        <v>7.6074972436604188E-2</v>
      </c>
      <c r="J48" s="39">
        <f t="shared" si="16"/>
        <v>7.6906270482849023E-2</v>
      </c>
      <c r="K48" s="39">
        <f t="shared" si="16"/>
        <v>8.4326512255453109E-2</v>
      </c>
      <c r="L48" s="39">
        <f t="shared" si="16"/>
        <v>8.979947689625109E-2</v>
      </c>
      <c r="M48" s="39">
        <f t="shared" si="16"/>
        <v>9.7335850639815397E-2</v>
      </c>
      <c r="N48" s="39">
        <f t="shared" si="10"/>
        <v>9.526800670016751E-2</v>
      </c>
      <c r="O48" s="39">
        <f t="shared" si="10"/>
        <v>9.5899053627760258E-2</v>
      </c>
      <c r="P48" s="39">
        <f t="shared" si="11"/>
        <v>0.10158517526233535</v>
      </c>
    </row>
    <row r="49" spans="1:16">
      <c r="A49" s="10"/>
      <c r="B49" s="10"/>
      <c r="C49" s="6" t="s">
        <v>50</v>
      </c>
      <c r="D49" s="10"/>
      <c r="E49" s="42">
        <f t="shared" si="16"/>
        <v>2.8152895399404899E-2</v>
      </c>
      <c r="F49" s="42">
        <f t="shared" si="16"/>
        <v>1.3987617518917679E-2</v>
      </c>
      <c r="G49" s="42">
        <f t="shared" si="16"/>
        <v>5.3750876372984343E-3</v>
      </c>
      <c r="H49" s="42">
        <f t="shared" si="16"/>
        <v>1.7368649587494573E-3</v>
      </c>
      <c r="I49" s="42">
        <f t="shared" si="16"/>
        <v>-1.5435501653803748E-3</v>
      </c>
      <c r="J49" s="42">
        <f t="shared" si="16"/>
        <v>-1.3109023377758358E-3</v>
      </c>
      <c r="K49" s="42">
        <f t="shared" si="16"/>
        <v>0</v>
      </c>
      <c r="L49" s="42">
        <f t="shared" si="16"/>
        <v>4.141238012205754E-3</v>
      </c>
      <c r="M49" s="42">
        <f t="shared" si="16"/>
        <v>4.6150618837843506E-3</v>
      </c>
      <c r="N49" s="42">
        <f t="shared" si="10"/>
        <v>5.2345058626465666E-3</v>
      </c>
      <c r="O49" s="42">
        <f t="shared" si="10"/>
        <v>5.2576235541535229E-3</v>
      </c>
      <c r="P49" s="42">
        <f t="shared" si="11"/>
        <v>1.5628488501897744E-3</v>
      </c>
    </row>
    <row r="50" spans="1:16" ht="16.5">
      <c r="A50" s="10"/>
      <c r="B50" s="10"/>
      <c r="C50" s="6" t="s">
        <v>51</v>
      </c>
      <c r="D50" s="10"/>
      <c r="E50" s="40">
        <f t="shared" si="16"/>
        <v>0</v>
      </c>
      <c r="F50" s="40">
        <f t="shared" si="16"/>
        <v>0</v>
      </c>
      <c r="G50" s="40">
        <f t="shared" si="16"/>
        <v>9.5583080158915631E-2</v>
      </c>
      <c r="H50" s="40">
        <f t="shared" si="16"/>
        <v>8.8797221016066005E-2</v>
      </c>
      <c r="I50" s="40">
        <f t="shared" si="16"/>
        <v>9.0187431091510478E-2</v>
      </c>
      <c r="J50" s="40">
        <f t="shared" si="16"/>
        <v>8.9359842691719468E-2</v>
      </c>
      <c r="K50" s="40">
        <f t="shared" si="16"/>
        <v>7.3307847987407235E-2</v>
      </c>
      <c r="L50" s="40">
        <f t="shared" si="16"/>
        <v>7.1054925893635573E-2</v>
      </c>
      <c r="M50" s="40">
        <f t="shared" si="16"/>
        <v>6.83868260960772E-2</v>
      </c>
      <c r="N50" s="40">
        <f t="shared" si="10"/>
        <v>6.8257956448911222E-2</v>
      </c>
      <c r="O50" s="40">
        <f t="shared" si="10"/>
        <v>0</v>
      </c>
      <c r="P50" s="40">
        <f t="shared" si="11"/>
        <v>0</v>
      </c>
    </row>
    <row r="51" spans="1:16" ht="16.5">
      <c r="A51" s="10"/>
      <c r="B51" s="10"/>
      <c r="C51" s="10"/>
      <c r="D51" s="10" t="s">
        <v>233</v>
      </c>
      <c r="E51" s="40">
        <f t="shared" si="16"/>
        <v>0.9874113069352255</v>
      </c>
      <c r="F51" s="40">
        <f t="shared" si="16"/>
        <v>0.94083925705113503</v>
      </c>
      <c r="G51" s="40">
        <f t="shared" si="16"/>
        <v>1.0060761860247722</v>
      </c>
      <c r="H51" s="40">
        <f t="shared" si="16"/>
        <v>0.93356491532783326</v>
      </c>
      <c r="I51" s="40">
        <f t="shared" si="16"/>
        <v>0.91444321940463069</v>
      </c>
      <c r="J51" s="40">
        <f t="shared" si="16"/>
        <v>0.90517806423421454</v>
      </c>
      <c r="K51" s="40">
        <f t="shared" si="16"/>
        <v>0.89453564200584668</v>
      </c>
      <c r="L51" s="40">
        <f t="shared" si="16"/>
        <v>0.8622493461203139</v>
      </c>
      <c r="M51" s="40">
        <f t="shared" si="16"/>
        <v>0.83238934340255921</v>
      </c>
      <c r="N51" s="40">
        <f t="shared" si="10"/>
        <v>0.81030150753768848</v>
      </c>
      <c r="O51" s="40">
        <f t="shared" si="10"/>
        <v>0.72071503680336491</v>
      </c>
      <c r="P51" s="40">
        <f t="shared" si="11"/>
        <v>0.73945077026121897</v>
      </c>
    </row>
    <row r="52" spans="1:16">
      <c r="A52" s="11"/>
      <c r="B52" s="25" t="s">
        <v>1</v>
      </c>
      <c r="C52" s="3"/>
      <c r="D52" s="11"/>
      <c r="E52" s="38">
        <f t="shared" si="16"/>
        <v>1.2588693064774548E-2</v>
      </c>
      <c r="F52" s="38">
        <f t="shared" si="16"/>
        <v>5.916074294886494E-2</v>
      </c>
      <c r="G52" s="38">
        <f t="shared" si="16"/>
        <v>-6.0761860247721435E-3</v>
      </c>
      <c r="H52" s="38">
        <f t="shared" si="16"/>
        <v>6.6435084672166744E-2</v>
      </c>
      <c r="I52" s="38">
        <f t="shared" si="16"/>
        <v>8.555678059536935E-2</v>
      </c>
      <c r="J52" s="38">
        <f t="shared" si="16"/>
        <v>9.4821935765785445E-2</v>
      </c>
      <c r="K52" s="38">
        <f t="shared" si="16"/>
        <v>0.10546435799415337</v>
      </c>
      <c r="L52" s="38">
        <f t="shared" si="16"/>
        <v>0.13775065387968613</v>
      </c>
      <c r="M52" s="38">
        <f t="shared" si="16"/>
        <v>0.16761065659744073</v>
      </c>
      <c r="N52" s="38">
        <f t="shared" si="10"/>
        <v>0.18969849246231155</v>
      </c>
      <c r="O52" s="38">
        <f t="shared" si="10"/>
        <v>0.27928496319663509</v>
      </c>
      <c r="P52" s="38">
        <f t="shared" si="11"/>
        <v>0.26054922973878097</v>
      </c>
    </row>
    <row r="53" spans="1:16" ht="16.5">
      <c r="A53" s="12"/>
      <c r="B53" s="2" t="s">
        <v>279</v>
      </c>
      <c r="C53" s="12"/>
      <c r="D53" s="12"/>
      <c r="E53" s="40">
        <f t="shared" si="16"/>
        <v>1.1902037079423208E-2</v>
      </c>
      <c r="F53" s="40">
        <f t="shared" si="16"/>
        <v>8.9429030038981876E-3</v>
      </c>
      <c r="G53" s="40">
        <f t="shared" si="16"/>
        <v>4.2065903248422526E-3</v>
      </c>
      <c r="H53" s="40">
        <f t="shared" si="16"/>
        <v>1.7368649587494573E-3</v>
      </c>
      <c r="I53" s="40">
        <f t="shared" si="16"/>
        <v>1.9845644983461962E-3</v>
      </c>
      <c r="J53" s="40">
        <f t="shared" si="16"/>
        <v>2.6218046755516716E-3</v>
      </c>
      <c r="K53" s="40">
        <f t="shared" si="16"/>
        <v>5.1720260850011248E-3</v>
      </c>
      <c r="L53" s="40">
        <f t="shared" si="16"/>
        <v>5.4489973844812556E-3</v>
      </c>
      <c r="M53" s="40">
        <f t="shared" si="16"/>
        <v>5.4541640444724145E-3</v>
      </c>
      <c r="N53" s="40">
        <f t="shared" si="10"/>
        <v>3.1407035175879399E-3</v>
      </c>
      <c r="O53" s="40">
        <f t="shared" si="10"/>
        <v>6.3091482649842276E-4</v>
      </c>
      <c r="P53" s="40">
        <f t="shared" si="11"/>
        <v>2.2326412145568208E-4</v>
      </c>
    </row>
    <row r="54" spans="1:16">
      <c r="A54" s="12"/>
      <c r="B54" s="22" t="s">
        <v>52</v>
      </c>
      <c r="C54" s="4"/>
      <c r="D54" s="12"/>
      <c r="E54" s="39">
        <f>E24/E$10</f>
        <v>2.4490730144197757E-2</v>
      </c>
      <c r="F54" s="39">
        <f t="shared" si="16"/>
        <v>6.8103645952763123E-2</v>
      </c>
      <c r="G54" s="39">
        <f t="shared" si="16"/>
        <v>-1.8695956999298902E-3</v>
      </c>
      <c r="H54" s="39">
        <f t="shared" si="16"/>
        <v>6.817194963091619E-2</v>
      </c>
      <c r="I54" s="39">
        <f t="shared" si="16"/>
        <v>8.7541345093715542E-2</v>
      </c>
      <c r="J54" s="39">
        <f t="shared" si="16"/>
        <v>9.7443740441337121E-2</v>
      </c>
      <c r="K54" s="39">
        <f t="shared" si="16"/>
        <v>0.11063638407915449</v>
      </c>
      <c r="L54" s="39">
        <f t="shared" si="16"/>
        <v>0.14319965126416739</v>
      </c>
      <c r="M54" s="39">
        <f t="shared" si="16"/>
        <v>0.17306482064191314</v>
      </c>
      <c r="N54" s="39">
        <f t="shared" si="10"/>
        <v>0.19283919597989949</v>
      </c>
      <c r="O54" s="39">
        <f t="shared" si="10"/>
        <v>0.27991587802313356</v>
      </c>
      <c r="P54" s="39">
        <f t="shared" si="11"/>
        <v>0.26077249386023665</v>
      </c>
    </row>
    <row r="55" spans="1:16" ht="16.5">
      <c r="A55" s="12"/>
      <c r="B55" s="2" t="s">
        <v>53</v>
      </c>
      <c r="C55" s="4"/>
      <c r="D55" s="12"/>
      <c r="E55" s="40">
        <f t="shared" si="16"/>
        <v>-2.2201876859693295E-2</v>
      </c>
      <c r="F55" s="40">
        <f t="shared" si="16"/>
        <v>-6.8791561568447603E-3</v>
      </c>
      <c r="G55" s="40">
        <f t="shared" si="16"/>
        <v>-2.8277634961439587E-2</v>
      </c>
      <c r="H55" s="40">
        <f t="shared" si="16"/>
        <v>1.9539730785931393E-3</v>
      </c>
      <c r="I55" s="40">
        <f t="shared" si="16"/>
        <v>1.4994487320837926E-2</v>
      </c>
      <c r="J55" s="40">
        <f t="shared" si="16"/>
        <v>1.7697181559973782E-2</v>
      </c>
      <c r="K55" s="40">
        <f t="shared" si="16"/>
        <v>1.6640431751742749E-2</v>
      </c>
      <c r="L55" s="40">
        <f t="shared" si="16"/>
        <v>2.5501307759372274E-2</v>
      </c>
      <c r="M55" s="40">
        <f t="shared" si="16"/>
        <v>3.5452066289070695E-2</v>
      </c>
      <c r="N55" s="40">
        <f t="shared" si="10"/>
        <v>3.5175879396984924E-2</v>
      </c>
      <c r="O55" s="40">
        <f t="shared" si="10"/>
        <v>5.1735015772870666E-2</v>
      </c>
      <c r="P55" s="40">
        <f t="shared" si="11"/>
        <v>4.509935253404778E-2</v>
      </c>
    </row>
    <row r="56" spans="1:16" ht="16.5">
      <c r="A56" s="9"/>
      <c r="B56" s="25" t="s">
        <v>2</v>
      </c>
      <c r="C56" s="9"/>
      <c r="D56" s="9"/>
      <c r="E56" s="41">
        <f t="shared" si="16"/>
        <v>4.6692607003891051E-2</v>
      </c>
      <c r="F56" s="41">
        <f t="shared" si="16"/>
        <v>7.4982802109607893E-2</v>
      </c>
      <c r="G56" s="41">
        <f t="shared" si="16"/>
        <v>2.6408039261509697E-2</v>
      </c>
      <c r="H56" s="41">
        <f t="shared" si="16"/>
        <v>6.621797655232306E-2</v>
      </c>
      <c r="I56" s="41">
        <f t="shared" si="16"/>
        <v>7.2546857772877615E-2</v>
      </c>
      <c r="J56" s="41">
        <f t="shared" si="16"/>
        <v>7.9746558881363339E-2</v>
      </c>
      <c r="K56" s="41">
        <f t="shared" si="16"/>
        <v>9.3995952327411744E-2</v>
      </c>
      <c r="L56" s="41">
        <f t="shared" si="16"/>
        <v>0.11769834350479512</v>
      </c>
      <c r="M56" s="41">
        <f t="shared" si="16"/>
        <v>0.13761275435284245</v>
      </c>
      <c r="N56" s="41">
        <f t="shared" si="10"/>
        <v>0.15766331658291458</v>
      </c>
      <c r="O56" s="41">
        <f t="shared" si="10"/>
        <v>0.22818086225026288</v>
      </c>
      <c r="P56" s="41">
        <f t="shared" si="11"/>
        <v>0.21567314132618889</v>
      </c>
    </row>
    <row r="57" spans="1:16" ht="16.5">
      <c r="A57" s="9"/>
      <c r="B57" s="25"/>
      <c r="C57" s="9"/>
      <c r="D57" s="9"/>
      <c r="E57" s="41"/>
      <c r="F57" s="41"/>
      <c r="G57" s="41"/>
      <c r="H57" s="41"/>
      <c r="I57" s="41"/>
      <c r="J57" s="41"/>
      <c r="K57" s="41"/>
      <c r="L57" s="41"/>
      <c r="M57" s="41"/>
      <c r="N57" s="41"/>
      <c r="O57" s="41"/>
      <c r="P57" s="41"/>
    </row>
    <row r="58" spans="1:16" ht="16.5">
      <c r="A58" s="27"/>
      <c r="B58" s="5" t="s">
        <v>263</v>
      </c>
      <c r="C58" s="9"/>
      <c r="D58" s="9"/>
      <c r="E58" s="41"/>
      <c r="F58" s="41"/>
      <c r="G58" s="41"/>
      <c r="H58" s="41"/>
      <c r="I58" s="41"/>
      <c r="J58" s="41"/>
      <c r="K58" s="41"/>
      <c r="L58" s="41"/>
      <c r="M58" s="41"/>
      <c r="N58" s="41"/>
      <c r="O58" s="41"/>
      <c r="P58" s="41"/>
    </row>
    <row r="59" spans="1:16">
      <c r="A59" s="20" t="s">
        <v>29</v>
      </c>
      <c r="B59" s="23"/>
      <c r="C59" s="24"/>
      <c r="D59" s="23"/>
      <c r="E59" s="48"/>
    </row>
    <row r="60" spans="1:16">
      <c r="A60" s="20"/>
      <c r="B60" s="23"/>
      <c r="C60" s="24"/>
      <c r="D60" s="23"/>
      <c r="E60" s="48"/>
    </row>
    <row r="61" spans="1:16" ht="14.25" customHeight="1">
      <c r="A61" s="23"/>
      <c r="B61" s="24"/>
      <c r="C61" s="24"/>
      <c r="D61" s="23"/>
      <c r="E61" s="19" t="str">
        <f t="shared" ref="E61:M63" si="17">E6</f>
        <v>Q2</v>
      </c>
      <c r="F61" s="19" t="str">
        <f t="shared" si="17"/>
        <v>Q3</v>
      </c>
      <c r="G61" s="19" t="str">
        <f t="shared" si="17"/>
        <v>Q4</v>
      </c>
      <c r="H61" s="19" t="str">
        <f t="shared" si="17"/>
        <v>Q1</v>
      </c>
      <c r="I61" s="19" t="str">
        <f t="shared" si="17"/>
        <v>Q2</v>
      </c>
      <c r="J61" s="19" t="str">
        <f t="shared" si="17"/>
        <v>Q3</v>
      </c>
      <c r="K61" s="19" t="str">
        <f t="shared" si="17"/>
        <v>Q4</v>
      </c>
      <c r="L61" s="19" t="str">
        <f t="shared" si="17"/>
        <v>Q1</v>
      </c>
      <c r="M61" s="19" t="str">
        <f t="shared" si="17"/>
        <v>Q2</v>
      </c>
      <c r="N61" s="19" t="str">
        <f t="shared" ref="N61:O61" si="18">N6</f>
        <v>Q3</v>
      </c>
      <c r="O61" s="19" t="str">
        <f t="shared" si="18"/>
        <v>Q4</v>
      </c>
      <c r="P61" s="19" t="str">
        <f t="shared" ref="P61" si="19">P6</f>
        <v>Q1</v>
      </c>
    </row>
    <row r="62" spans="1:16" ht="14.25" customHeight="1">
      <c r="A62" s="23"/>
      <c r="B62" s="24"/>
      <c r="C62" s="24"/>
      <c r="D62" s="23"/>
      <c r="E62" s="19" t="s">
        <v>44</v>
      </c>
      <c r="F62" s="19" t="s">
        <v>44</v>
      </c>
      <c r="G62" s="19" t="s">
        <v>44</v>
      </c>
      <c r="H62" s="19" t="s">
        <v>45</v>
      </c>
      <c r="I62" s="19" t="s">
        <v>45</v>
      </c>
      <c r="J62" s="19" t="s">
        <v>45</v>
      </c>
      <c r="K62" s="19" t="s">
        <v>45</v>
      </c>
      <c r="L62" s="19" t="s">
        <v>46</v>
      </c>
      <c r="M62" s="19" t="str">
        <f t="shared" si="17"/>
        <v>CY11</v>
      </c>
      <c r="N62" s="19" t="str">
        <f t="shared" ref="N62:O62" si="20">N7</f>
        <v>CY11</v>
      </c>
      <c r="O62" s="19" t="str">
        <f t="shared" si="20"/>
        <v>CY11</v>
      </c>
      <c r="P62" s="19" t="str">
        <f t="shared" ref="P62" si="21">P7</f>
        <v>CY12</v>
      </c>
    </row>
    <row r="63" spans="1:16">
      <c r="A63" s="23"/>
      <c r="B63" s="26"/>
      <c r="C63" s="26"/>
      <c r="D63" s="23"/>
      <c r="E63" s="45" t="s">
        <v>252</v>
      </c>
      <c r="F63" s="45" t="s">
        <v>252</v>
      </c>
      <c r="G63" s="45" t="s">
        <v>252</v>
      </c>
      <c r="H63" s="45" t="s">
        <v>252</v>
      </c>
      <c r="I63" s="45" t="s">
        <v>252</v>
      </c>
      <c r="J63" s="45" t="s">
        <v>252</v>
      </c>
      <c r="K63" s="45" t="s">
        <v>252</v>
      </c>
      <c r="L63" s="45" t="s">
        <v>252</v>
      </c>
      <c r="M63" s="45" t="str">
        <f t="shared" si="17"/>
        <v>TTM</v>
      </c>
      <c r="N63" s="45" t="str">
        <f t="shared" ref="N63:O63" si="22">N8</f>
        <v>TTM</v>
      </c>
      <c r="O63" s="45" t="str">
        <f t="shared" si="22"/>
        <v>TTM</v>
      </c>
      <c r="P63" s="45" t="str">
        <f t="shared" ref="P63" si="23">P8</f>
        <v>TTM</v>
      </c>
    </row>
    <row r="64" spans="1:16" ht="7.5" customHeight="1">
      <c r="A64" s="21"/>
      <c r="B64" s="21"/>
      <c r="C64" s="21"/>
      <c r="D64" s="21"/>
      <c r="E64" s="548"/>
      <c r="F64" s="548"/>
      <c r="G64" s="548"/>
      <c r="H64" s="548"/>
      <c r="I64" s="548"/>
      <c r="J64" s="548"/>
      <c r="K64" s="548"/>
      <c r="L64" s="548"/>
      <c r="M64" s="549"/>
      <c r="N64" s="549"/>
      <c r="O64" s="549"/>
      <c r="P64" s="549"/>
    </row>
    <row r="65" spans="1:16">
      <c r="A65" s="8"/>
      <c r="B65" s="1" t="s">
        <v>235</v>
      </c>
      <c r="C65" s="9"/>
      <c r="D65" s="8"/>
      <c r="E65" s="13">
        <f>SUM('QTD P&amp;L'!E61:H61)</f>
        <v>4585</v>
      </c>
      <c r="F65" s="13">
        <f>SUM('QTD P&amp;L'!F61:I61)</f>
        <v>4623</v>
      </c>
      <c r="G65" s="13">
        <f>SUM('QTD P&amp;L'!G61:J61)</f>
        <v>4775</v>
      </c>
      <c r="H65" s="13">
        <f>SUM('QTD P&amp;L'!H61:K61)</f>
        <v>4765</v>
      </c>
      <c r="I65" s="13">
        <f>SUM('QTD P&amp;L'!I61:L61)</f>
        <v>4647</v>
      </c>
      <c r="J65" s="13">
        <f>SUM('QTD P&amp;L'!J61:M61)</f>
        <v>4749</v>
      </c>
      <c r="K65" s="13">
        <v>4803</v>
      </c>
      <c r="L65" s="13">
        <f>SUM('QTD P&amp;L'!L61:O61)</f>
        <v>4843</v>
      </c>
      <c r="M65" s="13">
        <f>SUM('QTD P&amp;L'!M61:P61)</f>
        <v>4859</v>
      </c>
      <c r="N65" s="13">
        <f>SUM('QTD P&amp;L'!N61:Q61)</f>
        <v>4629</v>
      </c>
      <c r="O65" s="13">
        <v>4489</v>
      </c>
      <c r="P65" s="13">
        <f>SUM('QTD P&amp;L'!P61:S61)</f>
        <v>4321</v>
      </c>
    </row>
    <row r="66" spans="1:16">
      <c r="A66" s="8"/>
      <c r="B66" s="1" t="s">
        <v>234</v>
      </c>
      <c r="C66" s="9"/>
      <c r="D66" s="8"/>
      <c r="E66" s="528"/>
      <c r="F66" s="13"/>
      <c r="G66" s="528"/>
      <c r="H66" s="528"/>
      <c r="I66" s="528"/>
      <c r="J66" s="13"/>
      <c r="K66" s="528"/>
      <c r="L66" s="528"/>
      <c r="M66" s="528"/>
      <c r="N66" s="13"/>
      <c r="O66" s="13"/>
      <c r="P66" s="13"/>
    </row>
    <row r="67" spans="1:16" s="48" customFormat="1">
      <c r="A67" s="10"/>
      <c r="B67" s="2"/>
      <c r="C67" s="2" t="s">
        <v>248</v>
      </c>
      <c r="D67" s="10"/>
      <c r="E67" s="47">
        <f>SUM('QTD P&amp;L'!E63:H63)</f>
        <v>1678</v>
      </c>
      <c r="F67" s="47">
        <f>SUM('QTD P&amp;L'!F63:I63)</f>
        <v>1612</v>
      </c>
      <c r="G67" s="47">
        <v>1542</v>
      </c>
      <c r="H67" s="47">
        <f>SUM('QTD P&amp;L'!H63:K63)</f>
        <v>1507</v>
      </c>
      <c r="I67" s="47">
        <f>SUM('QTD P&amp;L'!I63:L63)</f>
        <v>1436</v>
      </c>
      <c r="J67" s="47">
        <f>SUM('QTD P&amp;L'!J63:M63)</f>
        <v>1428</v>
      </c>
      <c r="K67" s="47">
        <v>1348</v>
      </c>
      <c r="L67" s="47">
        <f>SUM('QTD P&amp;L'!L63:O63)</f>
        <v>1312</v>
      </c>
      <c r="M67" s="47">
        <f>SUM('QTD P&amp;L'!M63:P63)</f>
        <v>1281</v>
      </c>
      <c r="N67" s="47">
        <f>SUM('QTD P&amp;L'!N63:Q63)</f>
        <v>1213</v>
      </c>
      <c r="O67" s="47">
        <v>1121</v>
      </c>
      <c r="P67" s="47">
        <f>SUM('QTD P&amp;L'!P63:S63)</f>
        <v>1091</v>
      </c>
    </row>
    <row r="68" spans="1:16" s="48" customFormat="1">
      <c r="A68" s="10"/>
      <c r="B68" s="2"/>
      <c r="C68" s="2" t="s">
        <v>284</v>
      </c>
      <c r="D68" s="10"/>
      <c r="E68" s="47">
        <f>SUM('QTD P&amp;L'!E64:H64)</f>
        <v>199</v>
      </c>
      <c r="F68" s="47">
        <f>SUM('QTD P&amp;L'!F64:I64)</f>
        <v>211</v>
      </c>
      <c r="G68" s="47">
        <v>212</v>
      </c>
      <c r="H68" s="47">
        <f>SUM('QTD P&amp;L'!H64:K64)</f>
        <v>216</v>
      </c>
      <c r="I68" s="47">
        <f>SUM('QTD P&amp;L'!I64:L64)</f>
        <v>218</v>
      </c>
      <c r="J68" s="47">
        <f>SUM('QTD P&amp;L'!J64:M64)</f>
        <v>224</v>
      </c>
      <c r="K68" s="47">
        <v>241</v>
      </c>
      <c r="L68" s="47">
        <f>SUM('QTD P&amp;L'!L64:O64)</f>
        <v>250</v>
      </c>
      <c r="M68" s="47">
        <f>SUM('QTD P&amp;L'!M64:P64)</f>
        <v>256</v>
      </c>
      <c r="N68" s="47">
        <f>SUM('QTD P&amp;L'!N64:Q64)</f>
        <v>254</v>
      </c>
      <c r="O68" s="47">
        <v>238</v>
      </c>
      <c r="P68" s="47">
        <f>SUM('QTD P&amp;L'!P64:S64)</f>
        <v>235</v>
      </c>
    </row>
    <row r="69" spans="1:16" s="48" customFormat="1">
      <c r="A69" s="10"/>
      <c r="B69" s="2"/>
      <c r="C69" s="2" t="s">
        <v>246</v>
      </c>
      <c r="D69" s="10"/>
      <c r="E69" s="47">
        <f>SUM('QTD P&amp;L'!E65:H65)</f>
        <v>254</v>
      </c>
      <c r="F69" s="47">
        <f>SUM('QTD P&amp;L'!F65:I65)</f>
        <v>303</v>
      </c>
      <c r="G69" s="47">
        <v>244</v>
      </c>
      <c r="H69" s="47">
        <f>SUM('QTD P&amp;L'!H65:K65)</f>
        <v>246</v>
      </c>
      <c r="I69" s="47">
        <f>SUM('QTD P&amp;L'!I65:L65)</f>
        <v>262</v>
      </c>
      <c r="J69" s="47">
        <f>SUM('QTD P&amp;L'!J65:M65)</f>
        <v>241</v>
      </c>
      <c r="K69" s="47">
        <v>287</v>
      </c>
      <c r="L69" s="47">
        <f>SUM('QTD P&amp;L'!L65:O65)</f>
        <v>273</v>
      </c>
      <c r="M69" s="47">
        <f>SUM('QTD P&amp;L'!M65:P65)</f>
        <v>233</v>
      </c>
      <c r="N69" s="47">
        <f>SUM('QTD P&amp;L'!N65:Q65)</f>
        <v>194</v>
      </c>
      <c r="O69" s="47">
        <v>159</v>
      </c>
      <c r="P69" s="47">
        <f>SUM('QTD P&amp;L'!P65:S65)</f>
        <v>155</v>
      </c>
    </row>
    <row r="70" spans="1:16" s="48" customFormat="1">
      <c r="A70" s="10"/>
      <c r="B70" s="2"/>
      <c r="C70" s="2" t="s">
        <v>247</v>
      </c>
      <c r="D70" s="10"/>
      <c r="E70" s="47">
        <f>SUM('QTD P&amp;L'!E66:H66)</f>
        <v>145</v>
      </c>
      <c r="F70" s="47">
        <f>SUM('QTD P&amp;L'!F66:I66)</f>
        <v>157</v>
      </c>
      <c r="G70" s="47">
        <v>127</v>
      </c>
      <c r="H70" s="47">
        <f>SUM('QTD P&amp;L'!H66:K66)</f>
        <v>115</v>
      </c>
      <c r="I70" s="47">
        <f>SUM('QTD P&amp;L'!I66:L66)</f>
        <v>105</v>
      </c>
      <c r="J70" s="47">
        <f>SUM('QTD P&amp;L'!J66:M66)</f>
        <v>104</v>
      </c>
      <c r="K70" s="47">
        <v>100</v>
      </c>
      <c r="L70" s="47">
        <f>SUM('QTD P&amp;L'!L66:O66)</f>
        <v>90</v>
      </c>
      <c r="M70" s="47">
        <f>SUM('QTD P&amp;L'!M66:P66)</f>
        <v>84</v>
      </c>
      <c r="N70" s="47">
        <f>SUM('QTD P&amp;L'!N66:Q66)</f>
        <v>66</v>
      </c>
      <c r="O70" s="47">
        <v>72</v>
      </c>
      <c r="P70" s="47">
        <f>SUM('QTD P&amp;L'!P66:S66)</f>
        <v>67</v>
      </c>
    </row>
    <row r="71" spans="1:16">
      <c r="A71" s="10"/>
      <c r="B71" s="10"/>
      <c r="C71" s="6" t="s">
        <v>47</v>
      </c>
      <c r="D71" s="10"/>
      <c r="E71" s="15">
        <f>SUM('QTD P&amp;L'!E67:H67)</f>
        <v>505</v>
      </c>
      <c r="F71" s="15">
        <f>SUM('QTD P&amp;L'!F67:I67)</f>
        <v>514</v>
      </c>
      <c r="G71" s="15">
        <v>591</v>
      </c>
      <c r="H71" s="15">
        <f>SUM('QTD P&amp;L'!H67:K67)</f>
        <v>612</v>
      </c>
      <c r="I71" s="15">
        <f>SUM('QTD P&amp;L'!I67:L67)</f>
        <v>601</v>
      </c>
      <c r="J71" s="15">
        <f>SUM('QTD P&amp;L'!J67:M67)</f>
        <v>602</v>
      </c>
      <c r="K71" s="15">
        <f>630-7</f>
        <v>623</v>
      </c>
      <c r="L71" s="15">
        <f>SUM('QTD P&amp;L'!L67:O67)</f>
        <v>618</v>
      </c>
      <c r="M71" s="15">
        <f>SUM('QTD P&amp;L'!M67:P67)</f>
        <v>624</v>
      </c>
      <c r="N71" s="15">
        <f>SUM('QTD P&amp;L'!N67:Q67)</f>
        <v>640</v>
      </c>
      <c r="O71" s="15">
        <v>606</v>
      </c>
      <c r="P71" s="15">
        <f>SUM('QTD P&amp;L'!P67:S67)</f>
        <v>590</v>
      </c>
    </row>
    <row r="72" spans="1:16">
      <c r="A72" s="10"/>
      <c r="B72" s="10"/>
      <c r="C72" s="6" t="s">
        <v>48</v>
      </c>
      <c r="D72" s="10"/>
      <c r="E72" s="15">
        <f>SUM('QTD P&amp;L'!E68:H68)</f>
        <v>516</v>
      </c>
      <c r="F72" s="15">
        <f>SUM('QTD P&amp;L'!F68:I68)</f>
        <v>556</v>
      </c>
      <c r="G72" s="15">
        <v>537</v>
      </c>
      <c r="H72" s="15">
        <f>SUM('QTD P&amp;L'!H68:K68)</f>
        <v>515</v>
      </c>
      <c r="I72" s="15">
        <f>SUM('QTD P&amp;L'!I68:L68)</f>
        <v>524</v>
      </c>
      <c r="J72" s="15">
        <f>SUM('QTD P&amp;L'!J68:M68)</f>
        <v>501</v>
      </c>
      <c r="K72" s="15">
        <f>512-4</f>
        <v>508</v>
      </c>
      <c r="L72" s="15">
        <f>SUM('QTD P&amp;L'!L68:O68)</f>
        <v>513</v>
      </c>
      <c r="M72" s="15">
        <f>SUM('QTD P&amp;L'!M68:P68)</f>
        <v>482</v>
      </c>
      <c r="N72" s="15">
        <f>SUM('QTD P&amp;L'!N68:Q68)</f>
        <v>487</v>
      </c>
      <c r="O72" s="15">
        <v>539</v>
      </c>
      <c r="P72" s="15">
        <f>SUM('QTD P&amp;L'!P68:S68)</f>
        <v>561</v>
      </c>
    </row>
    <row r="73" spans="1:16" ht="16.5">
      <c r="A73" s="10"/>
      <c r="B73" s="10"/>
      <c r="C73" s="6" t="s">
        <v>49</v>
      </c>
      <c r="D73" s="10"/>
      <c r="E73" s="16">
        <f>SUM('QTD P&amp;L'!E69:H69)</f>
        <v>247</v>
      </c>
      <c r="F73" s="16">
        <f>SUM('QTD P&amp;L'!F69:I69)</f>
        <v>276</v>
      </c>
      <c r="G73" s="16">
        <v>288</v>
      </c>
      <c r="H73" s="16">
        <f>SUM('QTD P&amp;L'!H69:K69)</f>
        <v>274</v>
      </c>
      <c r="I73" s="16">
        <f>SUM('QTD P&amp;L'!I69:L69)</f>
        <v>276</v>
      </c>
      <c r="J73" s="16">
        <f>SUM('QTD P&amp;L'!J69:M69)</f>
        <v>295</v>
      </c>
      <c r="K73" s="16">
        <f>314+11</f>
        <v>325</v>
      </c>
      <c r="L73" s="16">
        <f>SUM('QTD P&amp;L'!L69:O69)</f>
        <v>363</v>
      </c>
      <c r="M73" s="16">
        <f>SUM('QTD P&amp;L'!M69:P69)</f>
        <v>411</v>
      </c>
      <c r="N73" s="16">
        <f>SUM('QTD P&amp;L'!N69:Q69)</f>
        <v>406</v>
      </c>
      <c r="O73" s="16">
        <v>396</v>
      </c>
      <c r="P73" s="16">
        <f>SUM('QTD P&amp;L'!P69:S69)</f>
        <v>392</v>
      </c>
    </row>
    <row r="74" spans="1:16" ht="16.5">
      <c r="A74" s="10"/>
      <c r="B74" s="10"/>
      <c r="C74" s="10"/>
      <c r="D74" s="10" t="s">
        <v>233</v>
      </c>
      <c r="E74" s="16">
        <f t="shared" ref="E74:L74" si="24">SUM(E67:E73)</f>
        <v>3544</v>
      </c>
      <c r="F74" s="16">
        <f t="shared" si="24"/>
        <v>3629</v>
      </c>
      <c r="G74" s="16">
        <f t="shared" si="24"/>
        <v>3541</v>
      </c>
      <c r="H74" s="16">
        <f t="shared" si="24"/>
        <v>3485</v>
      </c>
      <c r="I74" s="16">
        <f t="shared" si="24"/>
        <v>3422</v>
      </c>
      <c r="J74" s="16">
        <f t="shared" si="24"/>
        <v>3395</v>
      </c>
      <c r="K74" s="16">
        <f t="shared" si="24"/>
        <v>3432</v>
      </c>
      <c r="L74" s="16">
        <f t="shared" si="24"/>
        <v>3419</v>
      </c>
      <c r="M74" s="16">
        <f t="shared" ref="M74" si="25">SUM(M67:M73)</f>
        <v>3371</v>
      </c>
      <c r="N74" s="16">
        <f>SUM(N67:N73)</f>
        <v>3260</v>
      </c>
      <c r="O74" s="16">
        <f>SUM(O67:O73)</f>
        <v>3131</v>
      </c>
      <c r="P74" s="16">
        <f>SUM(P67:P73)</f>
        <v>3091</v>
      </c>
    </row>
    <row r="75" spans="1:16">
      <c r="A75" s="11"/>
      <c r="B75" s="25" t="s">
        <v>1</v>
      </c>
      <c r="C75" s="3"/>
      <c r="D75" s="11"/>
      <c r="E75" s="14">
        <f t="shared" ref="E75:M75" si="26">E65-E74</f>
        <v>1041</v>
      </c>
      <c r="F75" s="14">
        <f t="shared" si="26"/>
        <v>994</v>
      </c>
      <c r="G75" s="14">
        <f t="shared" si="26"/>
        <v>1234</v>
      </c>
      <c r="H75" s="14">
        <f t="shared" si="26"/>
        <v>1280</v>
      </c>
      <c r="I75" s="14">
        <f t="shared" si="26"/>
        <v>1225</v>
      </c>
      <c r="J75" s="14">
        <f t="shared" si="26"/>
        <v>1354</v>
      </c>
      <c r="K75" s="14">
        <f t="shared" si="26"/>
        <v>1371</v>
      </c>
      <c r="L75" s="14">
        <f t="shared" si="26"/>
        <v>1424</v>
      </c>
      <c r="M75" s="14">
        <f t="shared" si="26"/>
        <v>1488</v>
      </c>
      <c r="N75" s="14">
        <f>N65-N74</f>
        <v>1369</v>
      </c>
      <c r="O75" s="14">
        <f>O65-O74</f>
        <v>1358</v>
      </c>
      <c r="P75" s="14">
        <f>P65-P74</f>
        <v>1230</v>
      </c>
    </row>
    <row r="76" spans="1:16" ht="16.5">
      <c r="A76" s="12"/>
      <c r="B76" s="2" t="s">
        <v>279</v>
      </c>
      <c r="C76" s="12"/>
      <c r="D76" s="12"/>
      <c r="E76" s="16">
        <f>SUM('QTD P&amp;L'!E72:H72)</f>
        <v>52</v>
      </c>
      <c r="F76" s="16">
        <f>SUM('QTD P&amp;L'!F72:I72)</f>
        <v>31</v>
      </c>
      <c r="G76" s="16">
        <f>SUM('QTD P&amp;L'!G72:J72)</f>
        <v>10</v>
      </c>
      <c r="H76" s="16">
        <f>SUM('QTD P&amp;L'!H72:K72)</f>
        <v>0</v>
      </c>
      <c r="I76" s="16">
        <f>SUM('QTD P&amp;L'!I72:L72)</f>
        <v>1</v>
      </c>
      <c r="J76" s="16">
        <f>SUM('QTD P&amp;L'!J72:M72)</f>
        <v>12</v>
      </c>
      <c r="K76" s="16">
        <f>SUM('QTD P&amp;L'!K72:N72)</f>
        <v>23</v>
      </c>
      <c r="L76" s="16">
        <f>SUM('QTD P&amp;L'!L72:O72)</f>
        <v>25</v>
      </c>
      <c r="M76" s="16">
        <f>SUM('QTD P&amp;L'!M72:P72)</f>
        <v>26</v>
      </c>
      <c r="N76" s="16">
        <f>SUM('QTD P&amp;L'!N72:Q72)</f>
        <v>15</v>
      </c>
      <c r="O76" s="16">
        <v>3</v>
      </c>
      <c r="P76" s="16">
        <f>SUM('QTD P&amp;L'!P72:S72)</f>
        <v>1</v>
      </c>
    </row>
    <row r="77" spans="1:16">
      <c r="A77" s="12"/>
      <c r="B77" s="22" t="s">
        <v>52</v>
      </c>
      <c r="C77" s="4"/>
      <c r="D77" s="12"/>
      <c r="E77" s="15">
        <f t="shared" ref="E77:L77" si="27">SUM(E75:E76)</f>
        <v>1093</v>
      </c>
      <c r="F77" s="15">
        <f t="shared" si="27"/>
        <v>1025</v>
      </c>
      <c r="G77" s="15">
        <f t="shared" si="27"/>
        <v>1244</v>
      </c>
      <c r="H77" s="15">
        <f t="shared" si="27"/>
        <v>1280</v>
      </c>
      <c r="I77" s="15">
        <f t="shared" si="27"/>
        <v>1226</v>
      </c>
      <c r="J77" s="15">
        <f t="shared" si="27"/>
        <v>1366</v>
      </c>
      <c r="K77" s="15">
        <f t="shared" si="27"/>
        <v>1394</v>
      </c>
      <c r="L77" s="15">
        <f t="shared" si="27"/>
        <v>1449</v>
      </c>
      <c r="M77" s="15">
        <f t="shared" ref="M77" si="28">SUM(M75:M76)</f>
        <v>1514</v>
      </c>
      <c r="N77" s="15">
        <f>SUM(N75:N76)</f>
        <v>1384</v>
      </c>
      <c r="O77" s="15">
        <f>SUM(O75:O76)</f>
        <v>1361</v>
      </c>
      <c r="P77" s="15">
        <f>SUM(P75:P76)</f>
        <v>1231</v>
      </c>
    </row>
    <row r="78" spans="1:16" ht="16.5">
      <c r="A78" s="12"/>
      <c r="B78" s="2" t="s">
        <v>53</v>
      </c>
      <c r="C78" s="4"/>
      <c r="D78" s="12"/>
      <c r="E78" s="16">
        <f>SUM('QTD P&amp;L'!E74:H74)</f>
        <v>349</v>
      </c>
      <c r="F78" s="16">
        <f>SUM('QTD P&amp;L'!F74:I74)</f>
        <v>318</v>
      </c>
      <c r="G78" s="16">
        <f>SUM('QTD P&amp;L'!G74:J74)</f>
        <v>334</v>
      </c>
      <c r="H78" s="16">
        <f>SUM('QTD P&amp;L'!H74:K74)</f>
        <v>365</v>
      </c>
      <c r="I78" s="16">
        <f>SUM('QTD P&amp;L'!I74:L74)</f>
        <v>351</v>
      </c>
      <c r="J78" s="16">
        <f>SUM('QTD P&amp;L'!J74:M74)</f>
        <v>398</v>
      </c>
      <c r="K78" s="16">
        <f>SUM('QTD P&amp;L'!K74:N74)</f>
        <v>403</v>
      </c>
      <c r="L78" s="16">
        <f>SUM('QTD P&amp;L'!L74:O74)</f>
        <v>418</v>
      </c>
      <c r="M78" s="16">
        <f>SUM('QTD P&amp;L'!M74:P74)</f>
        <v>437</v>
      </c>
      <c r="N78" s="16">
        <f>SUM('QTD P&amp;L'!N74:Q74)</f>
        <v>368</v>
      </c>
      <c r="O78" s="16">
        <v>274</v>
      </c>
      <c r="P78" s="16">
        <f>SUM('QTD P&amp;L'!P74:S74)</f>
        <v>234</v>
      </c>
    </row>
    <row r="79" spans="1:16" ht="16.5">
      <c r="A79" s="9"/>
      <c r="B79" s="25" t="s">
        <v>2</v>
      </c>
      <c r="C79" s="9"/>
      <c r="D79" s="9"/>
      <c r="E79" s="17">
        <f t="shared" ref="E79:M79" si="29">E77-E78</f>
        <v>744</v>
      </c>
      <c r="F79" s="17">
        <f t="shared" si="29"/>
        <v>707</v>
      </c>
      <c r="G79" s="17">
        <f t="shared" si="29"/>
        <v>910</v>
      </c>
      <c r="H79" s="17">
        <f t="shared" si="29"/>
        <v>915</v>
      </c>
      <c r="I79" s="17">
        <f t="shared" si="29"/>
        <v>875</v>
      </c>
      <c r="J79" s="17">
        <f t="shared" si="29"/>
        <v>968</v>
      </c>
      <c r="K79" s="17">
        <f t="shared" si="29"/>
        <v>991</v>
      </c>
      <c r="L79" s="17">
        <f t="shared" si="29"/>
        <v>1031</v>
      </c>
      <c r="M79" s="17">
        <f t="shared" si="29"/>
        <v>1077</v>
      </c>
      <c r="N79" s="17">
        <f t="shared" ref="N79:O79" si="30">N77-N78</f>
        <v>1016</v>
      </c>
      <c r="O79" s="17">
        <f t="shared" si="30"/>
        <v>1087</v>
      </c>
      <c r="P79" s="17">
        <f t="shared" ref="P79" si="31">P77-P78</f>
        <v>997</v>
      </c>
    </row>
    <row r="80" spans="1:16" ht="9.75" customHeight="1">
      <c r="A80" s="9"/>
      <c r="B80" s="25"/>
      <c r="C80" s="9"/>
      <c r="D80" s="9"/>
      <c r="E80" s="529"/>
      <c r="F80" s="17"/>
      <c r="G80" s="529"/>
      <c r="H80" s="529"/>
      <c r="I80" s="529"/>
      <c r="J80" s="17"/>
      <c r="K80" s="529"/>
      <c r="L80" s="529"/>
      <c r="M80" s="529"/>
      <c r="N80" s="17"/>
      <c r="O80" s="17"/>
      <c r="P80" s="17"/>
    </row>
    <row r="81" spans="1:16" s="52" customFormat="1">
      <c r="A81" s="62"/>
      <c r="B81" s="63" t="s">
        <v>175</v>
      </c>
      <c r="C81" s="63"/>
      <c r="D81" s="63"/>
      <c r="E81" s="530"/>
      <c r="F81" s="64"/>
      <c r="G81" s="530"/>
      <c r="H81" s="530"/>
      <c r="I81" s="530"/>
      <c r="J81" s="64"/>
      <c r="K81" s="530"/>
      <c r="L81" s="530"/>
      <c r="M81" s="530"/>
      <c r="N81" s="64"/>
      <c r="O81" s="64"/>
      <c r="P81" s="64"/>
    </row>
    <row r="82" spans="1:16" s="52" customFormat="1">
      <c r="A82" s="62"/>
      <c r="B82" s="63"/>
      <c r="C82" s="522" t="s">
        <v>34</v>
      </c>
      <c r="D82" s="63"/>
      <c r="E82" s="66">
        <f>SUM('QTD P&amp;L'!E78:H78)</f>
        <v>0.56000000000000005</v>
      </c>
      <c r="F82" s="66">
        <f>SUM('QTD P&amp;L'!F78:I78)</f>
        <v>0.53</v>
      </c>
      <c r="G82" s="66">
        <v>0.7</v>
      </c>
      <c r="H82" s="66">
        <f>SUM('QTD P&amp;L'!H78:K78)</f>
        <v>0.72</v>
      </c>
      <c r="I82" s="66">
        <f>SUM('QTD P&amp;L'!I78:L78)</f>
        <v>0.69</v>
      </c>
      <c r="J82" s="66">
        <f>SUM('QTD P&amp;L'!J78:M78)</f>
        <v>0.76999999999999991</v>
      </c>
      <c r="K82" s="66">
        <v>0.81</v>
      </c>
      <c r="L82" s="66">
        <f>SUM('QTD P&amp;L'!L78:O78)</f>
        <v>0.85</v>
      </c>
      <c r="M82" s="66">
        <f>SUM('QTD P&amp;L'!M78:P78)</f>
        <v>0.89</v>
      </c>
      <c r="N82" s="66">
        <f>SUM('QTD P&amp;L'!N78:Q78)</f>
        <v>0.84000000000000008</v>
      </c>
      <c r="O82" s="66">
        <f>SUM('QTD P&amp;L'!O78:R78)</f>
        <v>0.93</v>
      </c>
      <c r="P82" s="66">
        <f>SUM('QTD P&amp;L'!P78:S78)</f>
        <v>0.8600000000000001</v>
      </c>
    </row>
    <row r="83" spans="1:16" s="52" customFormat="1">
      <c r="A83" s="62"/>
      <c r="B83" s="63"/>
      <c r="C83" s="522" t="s">
        <v>35</v>
      </c>
      <c r="D83" s="63"/>
      <c r="E83" s="66">
        <f>SUM('QTD P&amp;L'!E79:H79)</f>
        <v>0.54</v>
      </c>
      <c r="F83" s="66">
        <f>SUM('QTD P&amp;L'!F79:I79)</f>
        <v>0.51</v>
      </c>
      <c r="G83" s="66">
        <v>0.69</v>
      </c>
      <c r="H83" s="66">
        <f>SUM('QTD P&amp;L'!H79:K79)</f>
        <v>0.7</v>
      </c>
      <c r="I83" s="66">
        <f>SUM('QTD P&amp;L'!I79:L79)</f>
        <v>0.67999999999999994</v>
      </c>
      <c r="J83" s="66">
        <f>SUM('QTD P&amp;L'!J79:M79)</f>
        <v>0.7599999999999999</v>
      </c>
      <c r="K83" s="66">
        <v>0.79</v>
      </c>
      <c r="L83" s="66">
        <f>SUM('QTD P&amp;L'!L79:O79)</f>
        <v>0.84</v>
      </c>
      <c r="M83" s="66">
        <f>SUM('QTD P&amp;L'!M79:P79)</f>
        <v>0.88</v>
      </c>
      <c r="N83" s="66">
        <f>SUM('QTD P&amp;L'!N79:Q79)</f>
        <v>0.83000000000000007</v>
      </c>
      <c r="O83" s="66">
        <v>0.93</v>
      </c>
      <c r="P83" s="66">
        <f>SUM('QTD P&amp;L'!P79:S79)</f>
        <v>0.85000000000000009</v>
      </c>
    </row>
    <row r="84" spans="1:16" s="52" customFormat="1">
      <c r="A84" s="62"/>
      <c r="B84" s="63"/>
      <c r="C84" s="65"/>
      <c r="D84" s="63"/>
      <c r="E84" s="70"/>
      <c r="F84" s="70"/>
      <c r="G84" s="70"/>
      <c r="H84" s="70"/>
      <c r="I84" s="70"/>
      <c r="J84" s="70"/>
      <c r="K84" s="70"/>
      <c r="L84" s="70"/>
      <c r="M84" s="482"/>
      <c r="N84" s="482"/>
      <c r="O84" s="482"/>
      <c r="P84" s="482"/>
    </row>
    <row r="85" spans="1:16">
      <c r="A85" s="20" t="s">
        <v>173</v>
      </c>
      <c r="B85" s="29"/>
      <c r="C85" s="18"/>
      <c r="D85" s="29"/>
      <c r="E85" s="34"/>
      <c r="F85" s="34"/>
      <c r="G85" s="34"/>
      <c r="H85" s="34"/>
      <c r="I85" s="34"/>
      <c r="J85" s="34"/>
      <c r="K85" s="34"/>
      <c r="L85" s="34"/>
      <c r="M85" s="483"/>
      <c r="N85" s="483"/>
      <c r="O85" s="483"/>
      <c r="P85" s="483"/>
    </row>
    <row r="86" spans="1:16">
      <c r="A86" s="32"/>
      <c r="B86" s="29"/>
      <c r="C86" s="18"/>
      <c r="D86" s="29"/>
      <c r="E86" s="19" t="str">
        <f t="shared" ref="E86:M87" si="32">E61</f>
        <v>Q2</v>
      </c>
      <c r="F86" s="19" t="str">
        <f t="shared" si="32"/>
        <v>Q3</v>
      </c>
      <c r="G86" s="19" t="str">
        <f t="shared" si="32"/>
        <v>Q4</v>
      </c>
      <c r="H86" s="19" t="str">
        <f t="shared" si="32"/>
        <v>Q1</v>
      </c>
      <c r="I86" s="19" t="str">
        <f t="shared" si="32"/>
        <v>Q2</v>
      </c>
      <c r="J86" s="19" t="str">
        <f t="shared" si="32"/>
        <v>Q3</v>
      </c>
      <c r="K86" s="19" t="str">
        <f t="shared" si="32"/>
        <v>Q4</v>
      </c>
      <c r="L86" s="19" t="str">
        <f t="shared" si="32"/>
        <v>Q1</v>
      </c>
      <c r="M86" s="19" t="str">
        <f t="shared" si="32"/>
        <v>Q2</v>
      </c>
      <c r="N86" s="19" t="str">
        <f t="shared" ref="N86:O87" si="33">N61</f>
        <v>Q3</v>
      </c>
      <c r="O86" s="19" t="str">
        <f t="shared" si="33"/>
        <v>Q4</v>
      </c>
      <c r="P86" s="19" t="str">
        <f t="shared" ref="P86:P87" si="34">P61</f>
        <v>Q1</v>
      </c>
    </row>
    <row r="87" spans="1:16">
      <c r="A87" s="478"/>
      <c r="B87" s="478"/>
      <c r="C87" s="478"/>
      <c r="D87" s="478"/>
      <c r="E87" s="19" t="str">
        <f t="shared" si="32"/>
        <v>CY09</v>
      </c>
      <c r="F87" s="19" t="str">
        <f t="shared" si="32"/>
        <v>CY09</v>
      </c>
      <c r="G87" s="19" t="str">
        <f t="shared" si="32"/>
        <v>CY09</v>
      </c>
      <c r="H87" s="19" t="str">
        <f t="shared" si="32"/>
        <v>CY10</v>
      </c>
      <c r="I87" s="19" t="str">
        <f t="shared" si="32"/>
        <v>CY10</v>
      </c>
      <c r="J87" s="19" t="str">
        <f t="shared" si="32"/>
        <v>CY10</v>
      </c>
      <c r="K87" s="19" t="str">
        <f t="shared" si="32"/>
        <v>CY10</v>
      </c>
      <c r="L87" s="19" t="str">
        <f t="shared" si="32"/>
        <v>CY11</v>
      </c>
      <c r="M87" s="19" t="str">
        <f t="shared" si="32"/>
        <v>CY11</v>
      </c>
      <c r="N87" s="19" t="str">
        <f t="shared" si="33"/>
        <v>CY11</v>
      </c>
      <c r="O87" s="19" t="str">
        <f t="shared" si="33"/>
        <v>CY11</v>
      </c>
      <c r="P87" s="19" t="str">
        <f t="shared" si="34"/>
        <v>CY12</v>
      </c>
    </row>
    <row r="88" spans="1:16">
      <c r="A88" s="32"/>
      <c r="B88" s="29"/>
      <c r="C88" s="18"/>
      <c r="D88" s="29"/>
      <c r="E88" s="45" t="str">
        <f t="shared" ref="E88:M88" si="35">E63</f>
        <v>TTM</v>
      </c>
      <c r="F88" s="45" t="str">
        <f t="shared" si="35"/>
        <v>TTM</v>
      </c>
      <c r="G88" s="45" t="str">
        <f t="shared" si="35"/>
        <v>TTM</v>
      </c>
      <c r="H88" s="45" t="str">
        <f t="shared" si="35"/>
        <v>TTM</v>
      </c>
      <c r="I88" s="45" t="str">
        <f t="shared" si="35"/>
        <v>TTM</v>
      </c>
      <c r="J88" s="45" t="str">
        <f t="shared" si="35"/>
        <v>TTM</v>
      </c>
      <c r="K88" s="45" t="str">
        <f t="shared" si="35"/>
        <v>TTM</v>
      </c>
      <c r="L88" s="45" t="str">
        <f t="shared" si="35"/>
        <v>TTM</v>
      </c>
      <c r="M88" s="45" t="str">
        <f t="shared" si="35"/>
        <v>TTM</v>
      </c>
      <c r="N88" s="45" t="str">
        <f t="shared" ref="N88:O88" si="36">N63</f>
        <v>TTM</v>
      </c>
      <c r="O88" s="45" t="str">
        <f t="shared" si="36"/>
        <v>TTM</v>
      </c>
      <c r="P88" s="45" t="str">
        <f t="shared" ref="P88" si="37">P63</f>
        <v>TTM</v>
      </c>
    </row>
    <row r="89" spans="1:16">
      <c r="A89" s="32"/>
      <c r="B89" s="29"/>
      <c r="C89" s="18"/>
      <c r="D89" s="29"/>
      <c r="E89" s="34"/>
      <c r="F89" s="34"/>
      <c r="G89" s="34"/>
      <c r="H89" s="34"/>
      <c r="I89" s="34"/>
      <c r="J89" s="34"/>
      <c r="K89" s="34"/>
      <c r="L89" s="34"/>
      <c r="M89" s="18"/>
      <c r="N89" s="18"/>
      <c r="O89" s="18"/>
      <c r="P89" s="18"/>
    </row>
    <row r="90" spans="1:16">
      <c r="A90" s="32"/>
      <c r="B90" s="1" t="s">
        <v>234</v>
      </c>
      <c r="C90" s="18"/>
      <c r="D90" s="29"/>
      <c r="E90" s="34"/>
      <c r="F90" s="34"/>
      <c r="G90" s="34"/>
      <c r="H90" s="34"/>
      <c r="I90" s="34"/>
      <c r="J90" s="34"/>
      <c r="K90" s="34"/>
      <c r="L90" s="34"/>
      <c r="M90" s="18"/>
      <c r="N90" s="18"/>
      <c r="O90" s="18"/>
      <c r="P90" s="18"/>
    </row>
    <row r="91" spans="1:16" s="48" customFormat="1">
      <c r="A91" s="10"/>
      <c r="B91" s="2"/>
      <c r="C91" s="2" t="s">
        <v>248</v>
      </c>
      <c r="D91" s="10"/>
      <c r="E91" s="39">
        <f t="shared" ref="E91:M91" si="38">E67/E$65</f>
        <v>0.36597600872410035</v>
      </c>
      <c r="F91" s="39">
        <f t="shared" si="38"/>
        <v>0.34869132597880165</v>
      </c>
      <c r="G91" s="39">
        <f t="shared" si="38"/>
        <v>0.32293193717277485</v>
      </c>
      <c r="H91" s="39">
        <f t="shared" si="38"/>
        <v>0.3162644281217209</v>
      </c>
      <c r="I91" s="39">
        <f t="shared" si="38"/>
        <v>0.30901656982999787</v>
      </c>
      <c r="J91" s="39">
        <f t="shared" si="38"/>
        <v>0.30069488313329124</v>
      </c>
      <c r="K91" s="39">
        <f t="shared" si="38"/>
        <v>0.28065792213200086</v>
      </c>
      <c r="L91" s="39">
        <f t="shared" si="38"/>
        <v>0.27090646293619658</v>
      </c>
      <c r="M91" s="39">
        <f t="shared" si="38"/>
        <v>0.26363449269396994</v>
      </c>
      <c r="N91" s="39">
        <f t="shared" ref="N91:O103" si="39">N67/N$65</f>
        <v>0.26204363793475915</v>
      </c>
      <c r="O91" s="39">
        <f t="shared" si="39"/>
        <v>0.24972154154600135</v>
      </c>
      <c r="P91" s="39">
        <f t="shared" ref="P91" si="40">P67/P$65</f>
        <v>0.25248785003471419</v>
      </c>
    </row>
    <row r="92" spans="1:16" s="48" customFormat="1">
      <c r="A92" s="10"/>
      <c r="B92" s="2"/>
      <c r="C92" s="2" t="s">
        <v>284</v>
      </c>
      <c r="D92" s="10"/>
      <c r="E92" s="39">
        <f t="shared" ref="E92:M92" si="41">E68/E$65</f>
        <v>4.3402399127589968E-2</v>
      </c>
      <c r="F92" s="39">
        <f t="shared" si="41"/>
        <v>4.5641358425264983E-2</v>
      </c>
      <c r="G92" s="39">
        <f t="shared" si="41"/>
        <v>4.4397905759162304E-2</v>
      </c>
      <c r="H92" s="39">
        <f t="shared" si="41"/>
        <v>4.5330535152151102E-2</v>
      </c>
      <c r="I92" s="39">
        <f t="shared" si="41"/>
        <v>4.6911986227673771E-2</v>
      </c>
      <c r="J92" s="39">
        <f t="shared" si="41"/>
        <v>4.716782480522215E-2</v>
      </c>
      <c r="K92" s="39">
        <f t="shared" si="41"/>
        <v>5.0176972725379972E-2</v>
      </c>
      <c r="L92" s="39">
        <f t="shared" si="41"/>
        <v>5.1620896138756971E-2</v>
      </c>
      <c r="M92" s="39">
        <f t="shared" si="41"/>
        <v>5.2685737806132948E-2</v>
      </c>
      <c r="N92" s="39">
        <f t="shared" si="39"/>
        <v>5.487146251890257E-2</v>
      </c>
      <c r="O92" s="39">
        <f t="shared" si="39"/>
        <v>5.3018489641345513E-2</v>
      </c>
      <c r="P92" s="39">
        <f t="shared" ref="P92" si="42">P68/P$65</f>
        <v>5.4385558898403144E-2</v>
      </c>
    </row>
    <row r="93" spans="1:16" s="48" customFormat="1">
      <c r="A93" s="10"/>
      <c r="B93" s="2"/>
      <c r="C93" s="2" t="s">
        <v>246</v>
      </c>
      <c r="D93" s="10"/>
      <c r="E93" s="39">
        <f t="shared" ref="E93:M93" si="43">E69/E$65</f>
        <v>5.5398037077426389E-2</v>
      </c>
      <c r="F93" s="39">
        <f t="shared" si="43"/>
        <v>6.5541855937702787E-2</v>
      </c>
      <c r="G93" s="39">
        <f t="shared" si="43"/>
        <v>5.1099476439790577E-2</v>
      </c>
      <c r="H93" s="39">
        <f t="shared" si="43"/>
        <v>5.1626442812172088E-2</v>
      </c>
      <c r="I93" s="39">
        <f t="shared" si="43"/>
        <v>5.6380460512158379E-2</v>
      </c>
      <c r="J93" s="39">
        <f t="shared" si="43"/>
        <v>5.0747525794904193E-2</v>
      </c>
      <c r="K93" s="39">
        <f t="shared" si="43"/>
        <v>5.9754320216531334E-2</v>
      </c>
      <c r="L93" s="39">
        <f t="shared" si="43"/>
        <v>5.6370018583522613E-2</v>
      </c>
      <c r="M93" s="39">
        <f t="shared" si="43"/>
        <v>4.7952253550113191E-2</v>
      </c>
      <c r="N93" s="39">
        <f t="shared" si="39"/>
        <v>4.1909699719161808E-2</v>
      </c>
      <c r="O93" s="39">
        <f t="shared" si="39"/>
        <v>3.5419915348629982E-2</v>
      </c>
      <c r="P93" s="39">
        <f t="shared" ref="P93" si="44">P69/P$65</f>
        <v>3.5871326081925482E-2</v>
      </c>
    </row>
    <row r="94" spans="1:16" s="48" customFormat="1">
      <c r="A94" s="10"/>
      <c r="B94" s="2"/>
      <c r="C94" s="2" t="s">
        <v>247</v>
      </c>
      <c r="D94" s="10"/>
      <c r="E94" s="39">
        <f t="shared" ref="E94:M94" si="45">E70/E$65</f>
        <v>3.162486368593239E-2</v>
      </c>
      <c r="F94" s="39">
        <f t="shared" si="45"/>
        <v>3.3960631624486266E-2</v>
      </c>
      <c r="G94" s="39">
        <f t="shared" si="45"/>
        <v>2.6596858638743455E-2</v>
      </c>
      <c r="H94" s="39">
        <f t="shared" si="45"/>
        <v>2.4134312696747113E-2</v>
      </c>
      <c r="I94" s="39">
        <f t="shared" si="45"/>
        <v>2.2595222724338282E-2</v>
      </c>
      <c r="J94" s="39">
        <f t="shared" si="45"/>
        <v>2.1899347230996E-2</v>
      </c>
      <c r="K94" s="39">
        <f t="shared" si="45"/>
        <v>2.0820320632937747E-2</v>
      </c>
      <c r="L94" s="39">
        <f t="shared" si="45"/>
        <v>1.858352260995251E-2</v>
      </c>
      <c r="M94" s="39">
        <f t="shared" si="45"/>
        <v>1.7287507717637374E-2</v>
      </c>
      <c r="N94" s="39">
        <f t="shared" si="39"/>
        <v>1.4257939079714841E-2</v>
      </c>
      <c r="O94" s="39">
        <f t="shared" si="39"/>
        <v>1.6039206950323012E-2</v>
      </c>
      <c r="P94" s="39">
        <f t="shared" ref="P94" si="46">P70/P$65</f>
        <v>1.5505669983800046E-2</v>
      </c>
    </row>
    <row r="95" spans="1:16">
      <c r="A95" s="10"/>
      <c r="B95" s="10"/>
      <c r="C95" s="6" t="s">
        <v>47</v>
      </c>
      <c r="D95" s="10"/>
      <c r="E95" s="39">
        <f t="shared" ref="E95:M95" si="47">E71/E$65</f>
        <v>0.11014176663031625</v>
      </c>
      <c r="F95" s="39">
        <f t="shared" si="47"/>
        <v>0.11118321436296777</v>
      </c>
      <c r="G95" s="39">
        <f t="shared" si="47"/>
        <v>0.1237696335078534</v>
      </c>
      <c r="H95" s="39">
        <f t="shared" si="47"/>
        <v>0.12843651626442812</v>
      </c>
      <c r="I95" s="39">
        <f t="shared" si="47"/>
        <v>0.12933075102216485</v>
      </c>
      <c r="J95" s="39">
        <f t="shared" si="47"/>
        <v>0.12676352916403452</v>
      </c>
      <c r="K95" s="39">
        <f t="shared" si="47"/>
        <v>0.12971059754320216</v>
      </c>
      <c r="L95" s="39">
        <f t="shared" si="47"/>
        <v>0.12760685525500723</v>
      </c>
      <c r="M95" s="39">
        <f t="shared" si="47"/>
        <v>0.12842148590244906</v>
      </c>
      <c r="N95" s="39">
        <f t="shared" si="39"/>
        <v>0.13825880319723483</v>
      </c>
      <c r="O95" s="39">
        <f t="shared" si="39"/>
        <v>0.13499665849855202</v>
      </c>
      <c r="P95" s="39">
        <f t="shared" ref="P95" si="48">P71/P$65</f>
        <v>0.13654246702152278</v>
      </c>
    </row>
    <row r="96" spans="1:16">
      <c r="A96" s="10"/>
      <c r="B96" s="10"/>
      <c r="C96" s="6" t="s">
        <v>48</v>
      </c>
      <c r="D96" s="10"/>
      <c r="E96" s="39">
        <f t="shared" ref="E96:M103" si="49">E72/E$65</f>
        <v>0.11254089422028353</v>
      </c>
      <c r="F96" s="39">
        <f t="shared" si="49"/>
        <v>0.12026822409690677</v>
      </c>
      <c r="G96" s="39">
        <f t="shared" si="49"/>
        <v>0.1124607329842932</v>
      </c>
      <c r="H96" s="39">
        <f t="shared" si="49"/>
        <v>0.1080797481636936</v>
      </c>
      <c r="I96" s="39">
        <f t="shared" si="49"/>
        <v>0.11276092102431676</v>
      </c>
      <c r="J96" s="39">
        <f t="shared" si="49"/>
        <v>0.10549589387239419</v>
      </c>
      <c r="K96" s="39">
        <f t="shared" si="49"/>
        <v>0.10576722881532376</v>
      </c>
      <c r="L96" s="39">
        <f t="shared" si="49"/>
        <v>0.10592607887672929</v>
      </c>
      <c r="M96" s="39">
        <f>M72/M$65</f>
        <v>9.9197365713109692E-2</v>
      </c>
      <c r="N96" s="39">
        <f t="shared" si="39"/>
        <v>0.10520630805789587</v>
      </c>
      <c r="O96" s="39">
        <f t="shared" si="39"/>
        <v>0.12007128536422365</v>
      </c>
      <c r="P96" s="39">
        <f t="shared" ref="P96" si="50">P72/P$65</f>
        <v>0.12983105762554964</v>
      </c>
    </row>
    <row r="97" spans="1:16" ht="16.5">
      <c r="A97" s="10"/>
      <c r="B97" s="10"/>
      <c r="C97" s="6" t="s">
        <v>49</v>
      </c>
      <c r="D97" s="10"/>
      <c r="E97" s="40">
        <f t="shared" si="49"/>
        <v>5.3871319520174481E-2</v>
      </c>
      <c r="F97" s="40">
        <f t="shared" si="49"/>
        <v>5.9701492537313432E-2</v>
      </c>
      <c r="G97" s="40">
        <f t="shared" si="49"/>
        <v>6.0314136125654449E-2</v>
      </c>
      <c r="H97" s="40">
        <f t="shared" si="49"/>
        <v>5.7502623294858342E-2</v>
      </c>
      <c r="I97" s="40">
        <f t="shared" si="49"/>
        <v>5.9393156875403488E-2</v>
      </c>
      <c r="J97" s="40">
        <f t="shared" si="49"/>
        <v>6.2118340703305956E-2</v>
      </c>
      <c r="K97" s="40">
        <f t="shared" si="49"/>
        <v>6.7666042057047682E-2</v>
      </c>
      <c r="L97" s="40">
        <f t="shared" si="49"/>
        <v>7.4953541193475123E-2</v>
      </c>
      <c r="M97" s="40">
        <f>M73/M$65</f>
        <v>8.4585305618440007E-2</v>
      </c>
      <c r="N97" s="40">
        <f t="shared" si="39"/>
        <v>8.7707928278245847E-2</v>
      </c>
      <c r="O97" s="40">
        <f t="shared" si="39"/>
        <v>8.8215638226776569E-2</v>
      </c>
      <c r="P97" s="40">
        <f t="shared" ref="P97" si="51">P73/P$65</f>
        <v>9.0719740800740564E-2</v>
      </c>
    </row>
    <row r="98" spans="1:16" ht="16.5">
      <c r="A98" s="10"/>
      <c r="B98" s="10"/>
      <c r="C98" s="10"/>
      <c r="D98" s="10" t="s">
        <v>0</v>
      </c>
      <c r="E98" s="40">
        <f>E74/E$65</f>
        <v>0.77295528898582333</v>
      </c>
      <c r="F98" s="40">
        <f t="shared" si="49"/>
        <v>0.78498810296344368</v>
      </c>
      <c r="G98" s="40">
        <f t="shared" si="49"/>
        <v>0.74157068062827225</v>
      </c>
      <c r="H98" s="40">
        <f t="shared" si="49"/>
        <v>0.73137460650577124</v>
      </c>
      <c r="I98" s="40">
        <f t="shared" si="49"/>
        <v>0.73638906821605332</v>
      </c>
      <c r="J98" s="40">
        <f t="shared" si="49"/>
        <v>0.71488734470414828</v>
      </c>
      <c r="K98" s="40">
        <f t="shared" si="49"/>
        <v>0.71455340412242352</v>
      </c>
      <c r="L98" s="40">
        <f t="shared" si="49"/>
        <v>0.70596737559364031</v>
      </c>
      <c r="M98" s="40">
        <f t="shared" si="49"/>
        <v>0.69376414900185224</v>
      </c>
      <c r="N98" s="40">
        <f t="shared" si="39"/>
        <v>0.70425577878591483</v>
      </c>
      <c r="O98" s="40">
        <f t="shared" si="39"/>
        <v>0.69748273557585205</v>
      </c>
      <c r="P98" s="40">
        <f t="shared" ref="P98" si="52">P74/P$65</f>
        <v>0.71534367044665592</v>
      </c>
    </row>
    <row r="99" spans="1:16">
      <c r="A99" s="11"/>
      <c r="B99" s="25" t="s">
        <v>1</v>
      </c>
      <c r="C99" s="3"/>
      <c r="D99" s="11"/>
      <c r="E99" s="38">
        <f t="shared" ref="E99:L103" si="53">E75/E$65</f>
        <v>0.22704471101417667</v>
      </c>
      <c r="F99" s="38">
        <f t="shared" si="53"/>
        <v>0.21501189703655635</v>
      </c>
      <c r="G99" s="38">
        <f t="shared" si="53"/>
        <v>0.25842931937172775</v>
      </c>
      <c r="H99" s="38">
        <f t="shared" si="53"/>
        <v>0.26862539349422876</v>
      </c>
      <c r="I99" s="38">
        <f t="shared" si="53"/>
        <v>0.26361093178394662</v>
      </c>
      <c r="J99" s="38">
        <f t="shared" si="53"/>
        <v>0.28511265529585178</v>
      </c>
      <c r="K99" s="38">
        <f t="shared" si="53"/>
        <v>0.28544659587757654</v>
      </c>
      <c r="L99" s="38">
        <f t="shared" si="53"/>
        <v>0.29403262440635969</v>
      </c>
      <c r="M99" s="38">
        <f t="shared" si="49"/>
        <v>0.30623585099814776</v>
      </c>
      <c r="N99" s="38">
        <f t="shared" si="39"/>
        <v>0.29574422121408511</v>
      </c>
      <c r="O99" s="38">
        <f t="shared" si="39"/>
        <v>0.30251726442414789</v>
      </c>
      <c r="P99" s="38">
        <f t="shared" ref="P99" si="54">P75/P$65</f>
        <v>0.28465632955334413</v>
      </c>
    </row>
    <row r="100" spans="1:16" ht="16.5">
      <c r="A100" s="12"/>
      <c r="B100" s="2" t="s">
        <v>279</v>
      </c>
      <c r="C100" s="12"/>
      <c r="D100" s="12"/>
      <c r="E100" s="40">
        <f t="shared" si="53"/>
        <v>1.1341330425299891E-2</v>
      </c>
      <c r="F100" s="40">
        <f t="shared" si="53"/>
        <v>6.7056024226692622E-3</v>
      </c>
      <c r="G100" s="40">
        <f t="shared" si="53"/>
        <v>2.0942408376963353E-3</v>
      </c>
      <c r="H100" s="40">
        <f t="shared" si="53"/>
        <v>0</v>
      </c>
      <c r="I100" s="40">
        <f t="shared" si="53"/>
        <v>2.1519259737465033E-4</v>
      </c>
      <c r="J100" s="40">
        <f t="shared" si="53"/>
        <v>2.5268477574226151E-3</v>
      </c>
      <c r="K100" s="40">
        <f t="shared" si="53"/>
        <v>4.7886737455756822E-3</v>
      </c>
      <c r="L100" s="40">
        <f t="shared" si="53"/>
        <v>5.1620896138756967E-3</v>
      </c>
      <c r="M100" s="40">
        <f t="shared" si="49"/>
        <v>5.3508952459353776E-3</v>
      </c>
      <c r="N100" s="40">
        <f t="shared" si="39"/>
        <v>3.2404406999351912E-3</v>
      </c>
      <c r="O100" s="40">
        <f t="shared" si="39"/>
        <v>6.6830028959679211E-4</v>
      </c>
      <c r="P100" s="40">
        <f t="shared" ref="P100" si="55">P76/P$65</f>
        <v>2.3142791020597085E-4</v>
      </c>
    </row>
    <row r="101" spans="1:16">
      <c r="A101" s="12"/>
      <c r="B101" s="22" t="s">
        <v>52</v>
      </c>
      <c r="C101" s="4"/>
      <c r="D101" s="12"/>
      <c r="E101" s="39">
        <f t="shared" si="53"/>
        <v>0.23838604143947656</v>
      </c>
      <c r="F101" s="39">
        <f t="shared" si="53"/>
        <v>0.22171749945922561</v>
      </c>
      <c r="G101" s="39">
        <f t="shared" si="53"/>
        <v>0.26052356020942408</v>
      </c>
      <c r="H101" s="39">
        <f t="shared" si="53"/>
        <v>0.26862539349422876</v>
      </c>
      <c r="I101" s="39">
        <f t="shared" si="53"/>
        <v>0.2638261243813213</v>
      </c>
      <c r="J101" s="39">
        <f t="shared" si="53"/>
        <v>0.28763950305327435</v>
      </c>
      <c r="K101" s="39">
        <f t="shared" si="53"/>
        <v>0.29023526962315221</v>
      </c>
      <c r="L101" s="39">
        <f t="shared" si="53"/>
        <v>0.2991947140202354</v>
      </c>
      <c r="M101" s="39">
        <f t="shared" si="49"/>
        <v>0.31158674624408317</v>
      </c>
      <c r="N101" s="39">
        <f t="shared" si="39"/>
        <v>0.29898466191402029</v>
      </c>
      <c r="O101" s="39">
        <f t="shared" si="39"/>
        <v>0.30318556471374469</v>
      </c>
      <c r="P101" s="39">
        <f t="shared" ref="P101" si="56">P77/P$65</f>
        <v>0.28488775746355011</v>
      </c>
    </row>
    <row r="102" spans="1:16" ht="16.5">
      <c r="A102" s="12"/>
      <c r="B102" s="2" t="s">
        <v>53</v>
      </c>
      <c r="C102" s="4"/>
      <c r="D102" s="12"/>
      <c r="E102" s="40">
        <f t="shared" si="53"/>
        <v>7.6117775354416578E-2</v>
      </c>
      <c r="F102" s="40">
        <f t="shared" si="53"/>
        <v>6.8786502271252437E-2</v>
      </c>
      <c r="G102" s="40">
        <f t="shared" si="53"/>
        <v>6.9947643979057589E-2</v>
      </c>
      <c r="H102" s="40">
        <f t="shared" si="53"/>
        <v>7.6600209863588661E-2</v>
      </c>
      <c r="I102" s="40">
        <f t="shared" si="53"/>
        <v>7.5532601678502259E-2</v>
      </c>
      <c r="J102" s="40">
        <f t="shared" si="53"/>
        <v>8.3807117287850078E-2</v>
      </c>
      <c r="K102" s="40">
        <f t="shared" si="53"/>
        <v>8.3905892150739125E-2</v>
      </c>
      <c r="L102" s="40">
        <f t="shared" si="53"/>
        <v>8.6310138344001655E-2</v>
      </c>
      <c r="M102" s="40">
        <f t="shared" si="49"/>
        <v>8.9936200864375385E-2</v>
      </c>
      <c r="N102" s="40">
        <f t="shared" si="39"/>
        <v>7.9498811838410025E-2</v>
      </c>
      <c r="O102" s="40">
        <f t="shared" si="39"/>
        <v>6.1038093116507014E-2</v>
      </c>
      <c r="P102" s="40">
        <f t="shared" ref="P102" si="57">P78/P$65</f>
        <v>5.4154130988197179E-2</v>
      </c>
    </row>
    <row r="103" spans="1:16" ht="16.5">
      <c r="A103" s="9"/>
      <c r="B103" s="25" t="s">
        <v>2</v>
      </c>
      <c r="C103" s="9"/>
      <c r="D103" s="9"/>
      <c r="E103" s="41">
        <f t="shared" si="53"/>
        <v>0.16226826608505998</v>
      </c>
      <c r="F103" s="41">
        <f t="shared" si="53"/>
        <v>0.15293099718797318</v>
      </c>
      <c r="G103" s="41">
        <f t="shared" si="53"/>
        <v>0.19057591623036649</v>
      </c>
      <c r="H103" s="41">
        <f t="shared" si="53"/>
        <v>0.19202518363064008</v>
      </c>
      <c r="I103" s="41">
        <f t="shared" si="53"/>
        <v>0.18829352270281902</v>
      </c>
      <c r="J103" s="41">
        <f t="shared" si="53"/>
        <v>0.20383238576542431</v>
      </c>
      <c r="K103" s="41">
        <f t="shared" si="53"/>
        <v>0.20632937747241306</v>
      </c>
      <c r="L103" s="41">
        <f t="shared" si="53"/>
        <v>0.21288457567623373</v>
      </c>
      <c r="M103" s="41">
        <f t="shared" si="49"/>
        <v>0.22165054537970777</v>
      </c>
      <c r="N103" s="41">
        <f t="shared" si="39"/>
        <v>0.21948585007561028</v>
      </c>
      <c r="O103" s="41">
        <f t="shared" si="39"/>
        <v>0.24214747159723768</v>
      </c>
      <c r="P103" s="41">
        <f t="shared" ref="P103" si="58">P79/P$65</f>
        <v>0.23073362647535292</v>
      </c>
    </row>
    <row r="104" spans="1:16">
      <c r="E104" s="48"/>
    </row>
    <row r="105" spans="1:16">
      <c r="A105" s="27"/>
    </row>
  </sheetData>
  <mergeCells count="3">
    <mergeCell ref="A1:Q1"/>
    <mergeCell ref="A2:Q2"/>
    <mergeCell ref="A3:Q3"/>
  </mergeCells>
  <conditionalFormatting sqref="B61:B62 C59:C62">
    <cfRule type="cellIs" dxfId="0" priority="1" stopIfTrue="1" operator="equal">
      <formula>"tie to PF Core IS"</formula>
    </cfRule>
  </conditionalFormatting>
  <pageMargins left="0.7" right="0.7" top="0.25" bottom="0.44" header="0.3" footer="0.3"/>
  <pageSetup scale="64" fitToHeight="2" orientation="landscape" r:id="rId1"/>
  <headerFooter>
    <oddFooter>&amp;LActivision Blizzard, Inc.&amp;R&amp;P of &amp; 17</oddFooter>
  </headerFooter>
  <rowBreaks count="1" manualBreakCount="1">
    <brk id="58"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5"/>
  <sheetViews>
    <sheetView showGridLines="0" view="pageBreakPreview" zoomScale="85" zoomScaleNormal="100" zoomScaleSheetLayoutView="85" workbookViewId="0">
      <pane xSplit="4" ySplit="8" topLeftCell="G9" activePane="bottomRight" state="frozen"/>
      <selection activeCell="J17" sqref="J17"/>
      <selection pane="topRight" activeCell="J17" sqref="J17"/>
      <selection pane="bottomLeft" activeCell="J17" sqref="J17"/>
      <selection pane="bottomRight" activeCell="J17" sqref="J17"/>
    </sheetView>
  </sheetViews>
  <sheetFormatPr defaultColWidth="11.42578125" defaultRowHeight="12" outlineLevelCol="1"/>
  <cols>
    <col min="1" max="1" width="2.85546875" style="332" customWidth="1"/>
    <col min="2" max="2" width="2" style="332" customWidth="1"/>
    <col min="3" max="3" width="2.85546875" style="332" customWidth="1"/>
    <col min="4" max="4" width="64.140625" style="332" customWidth="1"/>
    <col min="5" max="5" width="8.5703125" style="354" hidden="1" customWidth="1" outlineLevel="1"/>
    <col min="6" max="6" width="8.5703125" style="355" hidden="1" customWidth="1" outlineLevel="1"/>
    <col min="7" max="7" width="8.5703125" style="355" customWidth="1" collapsed="1"/>
    <col min="8" max="11" width="8.5703125" style="441" customWidth="1"/>
    <col min="12" max="13" width="8.5703125" style="440" customWidth="1"/>
    <col min="14" max="14" width="8.7109375" style="440" customWidth="1"/>
    <col min="15" max="19" width="8.5703125" style="440" customWidth="1"/>
    <col min="20" max="20" width="1.42578125" style="332" customWidth="1"/>
    <col min="21" max="16384" width="11.42578125" style="332"/>
  </cols>
  <sheetData>
    <row r="1" spans="2:20">
      <c r="B1" s="589" t="s">
        <v>76</v>
      </c>
      <c r="C1" s="589"/>
      <c r="D1" s="589"/>
      <c r="E1" s="589"/>
      <c r="F1" s="589"/>
      <c r="G1" s="589"/>
      <c r="H1" s="589"/>
      <c r="I1" s="589"/>
      <c r="J1" s="589"/>
      <c r="K1" s="589"/>
      <c r="L1" s="589"/>
      <c r="M1" s="589"/>
      <c r="N1" s="589"/>
      <c r="O1" s="589"/>
      <c r="P1" s="589"/>
      <c r="Q1" s="589"/>
      <c r="R1" s="589"/>
      <c r="S1" s="589"/>
      <c r="T1" s="589"/>
    </row>
    <row r="2" spans="2:20" ht="12.75" customHeight="1">
      <c r="B2" s="589" t="s">
        <v>77</v>
      </c>
      <c r="C2" s="589"/>
      <c r="D2" s="589"/>
      <c r="E2" s="589"/>
      <c r="F2" s="589"/>
      <c r="G2" s="589"/>
      <c r="H2" s="589"/>
      <c r="I2" s="589"/>
      <c r="J2" s="589"/>
      <c r="K2" s="589"/>
      <c r="L2" s="589"/>
      <c r="M2" s="589"/>
      <c r="N2" s="589"/>
      <c r="O2" s="589"/>
      <c r="P2" s="589"/>
      <c r="Q2" s="589"/>
      <c r="R2" s="589"/>
      <c r="S2" s="589"/>
      <c r="T2" s="589"/>
    </row>
    <row r="3" spans="2:20" s="333" customFormat="1" ht="12.75" customHeight="1">
      <c r="B3" s="589" t="s">
        <v>78</v>
      </c>
      <c r="C3" s="589"/>
      <c r="D3" s="589"/>
      <c r="E3" s="589"/>
      <c r="F3" s="589"/>
      <c r="G3" s="589"/>
      <c r="H3" s="589"/>
      <c r="I3" s="589"/>
      <c r="J3" s="589"/>
      <c r="K3" s="589"/>
      <c r="L3" s="589"/>
      <c r="M3" s="589"/>
      <c r="N3" s="589"/>
      <c r="O3" s="589"/>
      <c r="P3" s="589"/>
      <c r="Q3" s="589"/>
      <c r="R3" s="589"/>
      <c r="S3" s="589"/>
      <c r="T3" s="589"/>
    </row>
    <row r="4" spans="2:20" s="333" customFormat="1" ht="12.75" customHeight="1">
      <c r="B4" s="334"/>
      <c r="C4" s="334"/>
      <c r="D4" s="334"/>
      <c r="E4" s="334"/>
      <c r="F4" s="334"/>
      <c r="G4" s="334"/>
      <c r="H4" s="442"/>
      <c r="I4" s="442"/>
      <c r="J4" s="442"/>
      <c r="K4" s="442"/>
      <c r="L4" s="442"/>
      <c r="M4" s="442"/>
      <c r="N4" s="442"/>
      <c r="O4" s="442"/>
      <c r="P4" s="441"/>
      <c r="Q4" s="441"/>
      <c r="R4" s="441"/>
      <c r="S4" s="441"/>
    </row>
    <row r="5" spans="2:20" s="333" customFormat="1" ht="12.75" customHeight="1">
      <c r="E5" s="335"/>
      <c r="F5" s="336"/>
      <c r="G5" s="336"/>
      <c r="H5" s="443"/>
      <c r="I5" s="441"/>
      <c r="J5" s="441"/>
      <c r="K5" s="441"/>
      <c r="L5" s="441"/>
      <c r="M5" s="441"/>
      <c r="N5" s="441"/>
      <c r="O5" s="441"/>
      <c r="P5" s="441"/>
      <c r="Q5" s="441"/>
      <c r="R5" s="441"/>
      <c r="S5" s="441"/>
    </row>
    <row r="6" spans="2:20" s="333" customFormat="1" ht="12.75" customHeight="1">
      <c r="E6" s="461" t="s">
        <v>251</v>
      </c>
      <c r="F6" s="334" t="s">
        <v>6</v>
      </c>
      <c r="G6" s="334" t="s">
        <v>3</v>
      </c>
      <c r="H6" s="442" t="s">
        <v>4</v>
      </c>
      <c r="I6" s="444" t="s">
        <v>5</v>
      </c>
      <c r="J6" s="444" t="s">
        <v>6</v>
      </c>
      <c r="K6" s="444" t="s">
        <v>3</v>
      </c>
      <c r="L6" s="444" t="s">
        <v>4</v>
      </c>
      <c r="M6" s="444" t="s">
        <v>5</v>
      </c>
      <c r="N6" s="444" t="s">
        <v>6</v>
      </c>
      <c r="O6" s="444" t="s">
        <v>3</v>
      </c>
      <c r="P6" s="444" t="s">
        <v>4</v>
      </c>
      <c r="Q6" s="444" t="s">
        <v>5</v>
      </c>
      <c r="R6" s="444" t="s">
        <v>6</v>
      </c>
      <c r="S6" s="444" t="s">
        <v>3</v>
      </c>
    </row>
    <row r="7" spans="2:20" s="333" customFormat="1" ht="12.75" customHeight="1" thickBot="1">
      <c r="E7" s="338" t="s">
        <v>43</v>
      </c>
      <c r="F7" s="339" t="s">
        <v>43</v>
      </c>
      <c r="G7" s="339" t="s">
        <v>44</v>
      </c>
      <c r="H7" s="445" t="s">
        <v>44</v>
      </c>
      <c r="I7" s="444" t="s">
        <v>44</v>
      </c>
      <c r="J7" s="444" t="s">
        <v>44</v>
      </c>
      <c r="K7" s="444" t="s">
        <v>45</v>
      </c>
      <c r="L7" s="444" t="s">
        <v>45</v>
      </c>
      <c r="M7" s="444" t="s">
        <v>45</v>
      </c>
      <c r="N7" s="444" t="s">
        <v>45</v>
      </c>
      <c r="O7" s="444" t="s">
        <v>46</v>
      </c>
      <c r="P7" s="444" t="s">
        <v>46</v>
      </c>
      <c r="Q7" s="444" t="s">
        <v>46</v>
      </c>
      <c r="R7" s="444" t="s">
        <v>46</v>
      </c>
      <c r="S7" s="444" t="s">
        <v>296</v>
      </c>
    </row>
    <row r="8" spans="2:20" s="333" customFormat="1" ht="12.75" customHeight="1">
      <c r="B8" s="346" t="s">
        <v>79</v>
      </c>
      <c r="C8" s="358"/>
      <c r="D8" s="358"/>
      <c r="E8" s="340"/>
      <c r="F8" s="340"/>
      <c r="G8" s="340"/>
      <c r="H8" s="446"/>
      <c r="I8" s="446"/>
      <c r="J8" s="446"/>
      <c r="K8" s="446"/>
      <c r="L8" s="446"/>
      <c r="M8" s="446"/>
      <c r="N8" s="446"/>
      <c r="O8" s="446"/>
      <c r="P8" s="446"/>
      <c r="Q8" s="446"/>
      <c r="R8" s="446"/>
      <c r="S8" s="446"/>
    </row>
    <row r="9" spans="2:20" s="333" customFormat="1" ht="12.75" customHeight="1">
      <c r="C9" s="333" t="s">
        <v>211</v>
      </c>
      <c r="E9" s="341">
        <v>364</v>
      </c>
      <c r="F9" s="341">
        <v>1695</v>
      </c>
      <c r="G9" s="341">
        <v>348</v>
      </c>
      <c r="H9" s="447">
        <v>448</v>
      </c>
      <c r="I9" s="448">
        <v>415</v>
      </c>
      <c r="J9" s="448">
        <v>1945</v>
      </c>
      <c r="K9" s="448">
        <v>337</v>
      </c>
      <c r="L9" s="448">
        <v>333</v>
      </c>
      <c r="M9" s="448">
        <v>314</v>
      </c>
      <c r="N9" s="448">
        <v>1785</v>
      </c>
      <c r="O9" s="448">
        <v>323</v>
      </c>
      <c r="P9" s="448">
        <v>323</v>
      </c>
      <c r="Q9" s="448">
        <v>253</v>
      </c>
      <c r="R9" s="448">
        <v>1929</v>
      </c>
      <c r="S9" s="448">
        <v>271</v>
      </c>
    </row>
    <row r="10" spans="2:20" s="333" customFormat="1" ht="12.75" customHeight="1">
      <c r="C10" s="333" t="s">
        <v>212</v>
      </c>
      <c r="E10" s="341">
        <v>297</v>
      </c>
      <c r="F10" s="341">
        <v>477</v>
      </c>
      <c r="G10" s="341">
        <v>291</v>
      </c>
      <c r="H10" s="449">
        <v>290</v>
      </c>
      <c r="I10" s="448">
        <v>286</v>
      </c>
      <c r="J10" s="448">
        <v>329</v>
      </c>
      <c r="K10" s="448">
        <v>306</v>
      </c>
      <c r="L10" s="448">
        <v>299</v>
      </c>
      <c r="M10" s="448">
        <v>481</v>
      </c>
      <c r="N10" s="448">
        <v>570</v>
      </c>
      <c r="O10" s="448">
        <v>357</v>
      </c>
      <c r="P10" s="448">
        <v>313</v>
      </c>
      <c r="Q10" s="448">
        <v>297</v>
      </c>
      <c r="R10" s="448">
        <v>276</v>
      </c>
      <c r="S10" s="448">
        <v>251</v>
      </c>
    </row>
    <row r="11" spans="2:20" s="333" customFormat="1" ht="12.75" customHeight="1">
      <c r="C11" s="333" t="s">
        <v>213</v>
      </c>
      <c r="E11" s="343">
        <v>56</v>
      </c>
      <c r="F11" s="343">
        <v>171</v>
      </c>
      <c r="G11" s="343">
        <v>85</v>
      </c>
      <c r="H11" s="450">
        <v>63</v>
      </c>
      <c r="I11" s="451">
        <v>54</v>
      </c>
      <c r="J11" s="451">
        <v>221</v>
      </c>
      <c r="K11" s="451">
        <v>71</v>
      </c>
      <c r="L11" s="451">
        <v>51</v>
      </c>
      <c r="M11" s="451">
        <v>62</v>
      </c>
      <c r="N11" s="451">
        <v>193</v>
      </c>
      <c r="O11" s="451">
        <v>75</v>
      </c>
      <c r="P11" s="451">
        <v>63</v>
      </c>
      <c r="Q11" s="451">
        <v>77</v>
      </c>
      <c r="R11" s="451">
        <v>203</v>
      </c>
      <c r="S11" s="451">
        <v>65</v>
      </c>
    </row>
    <row r="12" spans="2:20" s="333" customFormat="1" ht="12.75" customHeight="1">
      <c r="C12" s="333" t="s">
        <v>80</v>
      </c>
      <c r="E12" s="342">
        <f t="shared" ref="E12:N12" si="0">SUM(E9:E11)</f>
        <v>717</v>
      </c>
      <c r="F12" s="342">
        <f t="shared" si="0"/>
        <v>2343</v>
      </c>
      <c r="G12" s="342">
        <f t="shared" si="0"/>
        <v>724</v>
      </c>
      <c r="H12" s="448">
        <f t="shared" si="0"/>
        <v>801</v>
      </c>
      <c r="I12" s="448">
        <f t="shared" si="0"/>
        <v>755</v>
      </c>
      <c r="J12" s="448">
        <f t="shared" si="0"/>
        <v>2495</v>
      </c>
      <c r="K12" s="448">
        <f t="shared" si="0"/>
        <v>714</v>
      </c>
      <c r="L12" s="448">
        <f t="shared" si="0"/>
        <v>683</v>
      </c>
      <c r="M12" s="448">
        <f t="shared" si="0"/>
        <v>857</v>
      </c>
      <c r="N12" s="448">
        <f t="shared" si="0"/>
        <v>2548</v>
      </c>
      <c r="O12" s="448">
        <f>SUM(O9:O11)</f>
        <v>755</v>
      </c>
      <c r="P12" s="448">
        <f>SUM(P9:P11)</f>
        <v>699</v>
      </c>
      <c r="Q12" s="448">
        <f>SUM(Q9:Q11)</f>
        <v>627</v>
      </c>
      <c r="R12" s="448">
        <f>SUM(R9:R11)</f>
        <v>2408</v>
      </c>
      <c r="S12" s="448">
        <f>SUM(S9:S11)</f>
        <v>587</v>
      </c>
    </row>
    <row r="13" spans="2:20" s="333" customFormat="1" ht="12.75" customHeight="1">
      <c r="D13" s="409"/>
      <c r="E13" s="341"/>
      <c r="F13" s="345"/>
      <c r="G13" s="341"/>
      <c r="H13" s="449"/>
      <c r="I13" s="448"/>
      <c r="J13" s="448"/>
      <c r="K13" s="448"/>
      <c r="L13" s="449"/>
      <c r="M13" s="448"/>
      <c r="N13" s="448"/>
      <c r="O13" s="448"/>
      <c r="P13" s="448"/>
      <c r="Q13" s="448"/>
      <c r="R13" s="448"/>
      <c r="S13" s="448"/>
    </row>
    <row r="14" spans="2:20" s="333" customFormat="1" ht="12.75" customHeight="1">
      <c r="B14" s="346" t="s">
        <v>81</v>
      </c>
      <c r="E14" s="341"/>
      <c r="F14" s="345"/>
      <c r="G14" s="341"/>
      <c r="H14" s="449"/>
      <c r="I14" s="448"/>
      <c r="J14" s="448"/>
      <c r="K14" s="448"/>
      <c r="L14" s="448"/>
      <c r="M14" s="448"/>
      <c r="N14" s="448"/>
      <c r="O14" s="448"/>
      <c r="P14" s="448"/>
      <c r="Q14" s="448"/>
      <c r="R14" s="448"/>
      <c r="S14" s="448"/>
    </row>
    <row r="15" spans="2:20" s="333" customFormat="1" ht="12.75" customHeight="1">
      <c r="C15" s="333" t="s">
        <v>82</v>
      </c>
      <c r="E15" s="341">
        <v>-12</v>
      </c>
      <c r="F15" s="345">
        <v>-705</v>
      </c>
      <c r="G15" s="341">
        <v>256</v>
      </c>
      <c r="H15" s="449">
        <v>237</v>
      </c>
      <c r="I15" s="448">
        <v>-52</v>
      </c>
      <c r="J15" s="448">
        <v>-938</v>
      </c>
      <c r="K15" s="448">
        <v>594</v>
      </c>
      <c r="L15" s="448">
        <v>284</v>
      </c>
      <c r="M15" s="448">
        <v>-112</v>
      </c>
      <c r="N15" s="448">
        <v>-1121</v>
      </c>
      <c r="O15" s="448">
        <v>694</v>
      </c>
      <c r="P15" s="448">
        <v>447</v>
      </c>
      <c r="Q15" s="448">
        <v>127</v>
      </c>
      <c r="R15" s="448">
        <v>-1001</v>
      </c>
      <c r="S15" s="448">
        <v>585</v>
      </c>
    </row>
    <row r="16" spans="2:20" s="333" customFormat="1" ht="12.75" customHeight="1">
      <c r="C16" s="333" t="s">
        <v>214</v>
      </c>
      <c r="E16" s="341">
        <v>6</v>
      </c>
      <c r="F16" s="345">
        <v>1</v>
      </c>
      <c r="G16" s="341">
        <v>1</v>
      </c>
      <c r="H16" s="449">
        <v>0</v>
      </c>
      <c r="I16" s="448">
        <v>0</v>
      </c>
      <c r="J16" s="448">
        <v>0</v>
      </c>
      <c r="K16" s="448">
        <v>0</v>
      </c>
      <c r="L16" s="448">
        <v>0</v>
      </c>
      <c r="M16" s="448">
        <v>0</v>
      </c>
      <c r="N16" s="448">
        <v>0</v>
      </c>
      <c r="O16" s="448">
        <v>0</v>
      </c>
      <c r="P16" s="448">
        <v>0</v>
      </c>
      <c r="Q16" s="448">
        <v>0</v>
      </c>
      <c r="R16" s="448">
        <v>0</v>
      </c>
      <c r="S16" s="448">
        <v>0</v>
      </c>
    </row>
    <row r="17" spans="2:20" s="333" customFormat="1" ht="12.75" customHeight="1" thickBot="1">
      <c r="C17" s="333" t="s">
        <v>83</v>
      </c>
      <c r="E17" s="347">
        <f t="shared" ref="E17:G17" si="1">SUM(E12:E16)-E13</f>
        <v>711</v>
      </c>
      <c r="F17" s="347">
        <f t="shared" si="1"/>
        <v>1639</v>
      </c>
      <c r="G17" s="347">
        <f t="shared" si="1"/>
        <v>981</v>
      </c>
      <c r="H17" s="452">
        <f>SUM(H12:H16)-H13</f>
        <v>1038</v>
      </c>
      <c r="I17" s="452">
        <f t="shared" ref="I17:P17" si="2">SUM(I12:I16)-I13</f>
        <v>703</v>
      </c>
      <c r="J17" s="452">
        <f t="shared" si="2"/>
        <v>1557</v>
      </c>
      <c r="K17" s="452">
        <f t="shared" si="2"/>
        <v>1308</v>
      </c>
      <c r="L17" s="452">
        <f t="shared" si="2"/>
        <v>967</v>
      </c>
      <c r="M17" s="452">
        <f t="shared" si="2"/>
        <v>745</v>
      </c>
      <c r="N17" s="452">
        <f t="shared" si="2"/>
        <v>1427</v>
      </c>
      <c r="O17" s="452">
        <f t="shared" si="2"/>
        <v>1449</v>
      </c>
      <c r="P17" s="452">
        <f t="shared" si="2"/>
        <v>1146</v>
      </c>
      <c r="Q17" s="452">
        <f t="shared" ref="Q17:R17" si="3">SUM(Q12:Q16)-Q13</f>
        <v>754</v>
      </c>
      <c r="R17" s="452">
        <f t="shared" si="3"/>
        <v>1407</v>
      </c>
      <c r="S17" s="452">
        <f t="shared" ref="S17" si="4">SUM(S12:S16)-S13</f>
        <v>1172</v>
      </c>
    </row>
    <row r="18" spans="2:20" s="333" customFormat="1" ht="12.75" customHeight="1">
      <c r="D18" s="409"/>
      <c r="E18" s="341"/>
      <c r="F18" s="341"/>
      <c r="G18" s="341"/>
      <c r="H18" s="449"/>
      <c r="I18" s="448"/>
      <c r="J18" s="448"/>
      <c r="K18" s="448"/>
      <c r="L18" s="448"/>
      <c r="M18" s="448"/>
      <c r="N18" s="448"/>
      <c r="O18" s="448"/>
      <c r="P18" s="448"/>
      <c r="Q18" s="448"/>
      <c r="R18" s="448"/>
      <c r="S18" s="448"/>
    </row>
    <row r="19" spans="2:20" s="333" customFormat="1" ht="12.75" customHeight="1">
      <c r="B19" s="346" t="s">
        <v>84</v>
      </c>
      <c r="E19" s="349"/>
      <c r="F19" s="341"/>
      <c r="G19" s="349"/>
      <c r="H19" s="453"/>
      <c r="I19" s="448"/>
      <c r="J19" s="456"/>
      <c r="K19" s="448"/>
      <c r="L19" s="448"/>
      <c r="M19" s="448"/>
      <c r="N19" s="456"/>
      <c r="O19" s="448"/>
      <c r="P19" s="448"/>
      <c r="Q19" s="448"/>
      <c r="R19" s="448"/>
      <c r="S19" s="448"/>
    </row>
    <row r="20" spans="2:20" s="333" customFormat="1" ht="12.75" customHeight="1">
      <c r="C20" s="333" t="s">
        <v>211</v>
      </c>
      <c r="E20" s="350">
        <v>-26</v>
      </c>
      <c r="F20" s="350">
        <v>368</v>
      </c>
      <c r="G20" s="350">
        <v>-27</v>
      </c>
      <c r="H20" s="454">
        <v>21</v>
      </c>
      <c r="I20" s="448">
        <v>-43</v>
      </c>
      <c r="J20" s="448">
        <v>712</v>
      </c>
      <c r="K20" s="448">
        <v>7</v>
      </c>
      <c r="L20" s="448">
        <v>-53</v>
      </c>
      <c r="M20" s="448">
        <v>-43</v>
      </c>
      <c r="N20" s="448">
        <v>599</v>
      </c>
      <c r="O20" s="448">
        <v>48</v>
      </c>
      <c r="P20" s="448">
        <v>31</v>
      </c>
      <c r="Q20" s="448">
        <v>-36</v>
      </c>
      <c r="R20" s="448">
        <v>809</v>
      </c>
      <c r="S20" s="448">
        <v>0</v>
      </c>
      <c r="T20" s="572"/>
    </row>
    <row r="21" spans="2:20" s="333" customFormat="1" ht="12.75" customHeight="1">
      <c r="C21" s="333" t="s">
        <v>212</v>
      </c>
      <c r="E21" s="341">
        <v>146</v>
      </c>
      <c r="F21" s="341">
        <v>257</v>
      </c>
      <c r="G21" s="341">
        <v>143</v>
      </c>
      <c r="H21" s="449">
        <v>134</v>
      </c>
      <c r="I21" s="448">
        <v>116</v>
      </c>
      <c r="J21" s="448">
        <v>162</v>
      </c>
      <c r="K21" s="448">
        <v>158</v>
      </c>
      <c r="L21" s="448">
        <v>155</v>
      </c>
      <c r="M21" s="448">
        <v>246</v>
      </c>
      <c r="N21" s="448">
        <v>291</v>
      </c>
      <c r="O21" s="448">
        <v>170</v>
      </c>
      <c r="P21" s="448">
        <v>135</v>
      </c>
      <c r="Q21" s="448">
        <v>120</v>
      </c>
      <c r="R21" s="448">
        <v>71</v>
      </c>
      <c r="S21" s="448">
        <v>89</v>
      </c>
      <c r="T21" s="572"/>
    </row>
    <row r="22" spans="2:20" s="333" customFormat="1" ht="12.75" customHeight="1">
      <c r="C22" s="333" t="s">
        <v>213</v>
      </c>
      <c r="E22" s="343">
        <v>2</v>
      </c>
      <c r="F22" s="343">
        <v>19</v>
      </c>
      <c r="G22" s="343">
        <v>3</v>
      </c>
      <c r="H22" s="450">
        <v>1</v>
      </c>
      <c r="I22" s="451">
        <v>2</v>
      </c>
      <c r="J22" s="451">
        <v>10</v>
      </c>
      <c r="K22" s="451">
        <v>0</v>
      </c>
      <c r="L22" s="451">
        <v>-1</v>
      </c>
      <c r="M22" s="451">
        <v>1</v>
      </c>
      <c r="N22" s="451">
        <v>11</v>
      </c>
      <c r="O22" s="451">
        <v>0</v>
      </c>
      <c r="P22" s="451">
        <v>-1</v>
      </c>
      <c r="Q22" s="451">
        <v>1</v>
      </c>
      <c r="R22" s="451">
        <v>10</v>
      </c>
      <c r="S22" s="451">
        <v>1</v>
      </c>
      <c r="T22" s="572"/>
    </row>
    <row r="23" spans="2:20" s="333" customFormat="1" ht="12.75" customHeight="1">
      <c r="C23" s="333" t="s">
        <v>80</v>
      </c>
      <c r="E23" s="342">
        <f t="shared" ref="E23:N23" si="5">SUM(E20:E22)</f>
        <v>122</v>
      </c>
      <c r="F23" s="342">
        <f t="shared" si="5"/>
        <v>644</v>
      </c>
      <c r="G23" s="342">
        <f t="shared" si="5"/>
        <v>119</v>
      </c>
      <c r="H23" s="448">
        <f t="shared" si="5"/>
        <v>156</v>
      </c>
      <c r="I23" s="448">
        <f t="shared" si="5"/>
        <v>75</v>
      </c>
      <c r="J23" s="448">
        <f t="shared" si="5"/>
        <v>884</v>
      </c>
      <c r="K23" s="448">
        <f t="shared" si="5"/>
        <v>165</v>
      </c>
      <c r="L23" s="448">
        <f t="shared" si="5"/>
        <v>101</v>
      </c>
      <c r="M23" s="448">
        <f t="shared" si="5"/>
        <v>204</v>
      </c>
      <c r="N23" s="448">
        <f t="shared" si="5"/>
        <v>901</v>
      </c>
      <c r="O23" s="448">
        <f>SUM(O20:O22)</f>
        <v>218</v>
      </c>
      <c r="P23" s="448">
        <f>SUM(P20:P22)</f>
        <v>165</v>
      </c>
      <c r="Q23" s="448">
        <f>SUM(Q20:Q22)</f>
        <v>85</v>
      </c>
      <c r="R23" s="448">
        <f>SUM(R20:R22)</f>
        <v>890</v>
      </c>
      <c r="S23" s="448">
        <f>SUM(S20:S22)</f>
        <v>90</v>
      </c>
    </row>
    <row r="24" spans="2:20" s="333" customFormat="1" ht="12.75" customHeight="1">
      <c r="D24" s="409"/>
      <c r="E24" s="341"/>
      <c r="F24" s="345"/>
      <c r="G24" s="341"/>
      <c r="H24" s="448"/>
      <c r="I24" s="456"/>
      <c r="J24" s="456"/>
      <c r="K24" s="456"/>
      <c r="L24" s="448"/>
      <c r="M24" s="456"/>
      <c r="N24" s="456"/>
      <c r="O24" s="456"/>
      <c r="P24" s="448"/>
      <c r="Q24" s="456"/>
      <c r="R24" s="456"/>
      <c r="S24" s="456"/>
    </row>
    <row r="25" spans="2:20" s="333" customFormat="1" ht="12.75" customHeight="1">
      <c r="B25" s="346" t="s">
        <v>280</v>
      </c>
      <c r="E25" s="341"/>
      <c r="F25" s="345"/>
      <c r="G25" s="341"/>
      <c r="H25" s="449"/>
      <c r="I25" s="448"/>
      <c r="J25" s="448"/>
      <c r="K25" s="448"/>
      <c r="L25" s="448"/>
      <c r="M25" s="448"/>
      <c r="N25" s="448"/>
      <c r="O25" s="448"/>
      <c r="P25" s="448"/>
      <c r="Q25" s="448"/>
      <c r="R25" s="448"/>
      <c r="S25" s="448"/>
    </row>
    <row r="26" spans="2:20" s="333" customFormat="1" ht="12.75" customHeight="1">
      <c r="B26" s="346"/>
      <c r="C26" s="333" t="s">
        <v>85</v>
      </c>
      <c r="E26" s="341">
        <v>-12</v>
      </c>
      <c r="F26" s="345">
        <v>-490</v>
      </c>
      <c r="G26" s="341">
        <v>167</v>
      </c>
      <c r="H26" s="449">
        <v>164</v>
      </c>
      <c r="I26" s="448">
        <v>9</v>
      </c>
      <c r="J26" s="448">
        <v>-724</v>
      </c>
      <c r="K26" s="448">
        <v>410</v>
      </c>
      <c r="L26" s="448">
        <v>227</v>
      </c>
      <c r="M26" s="448">
        <v>-97</v>
      </c>
      <c r="N26" s="448">
        <v>-859</v>
      </c>
      <c r="O26" s="448">
        <v>506</v>
      </c>
      <c r="P26" s="448">
        <v>332</v>
      </c>
      <c r="Q26" s="448">
        <v>105</v>
      </c>
      <c r="R26" s="448">
        <v>-758</v>
      </c>
      <c r="S26" s="448">
        <v>447</v>
      </c>
    </row>
    <row r="27" spans="2:20" s="333" customFormat="1" ht="12.75" customHeight="1">
      <c r="B27" s="346"/>
      <c r="C27" s="333" t="s">
        <v>86</v>
      </c>
      <c r="E27" s="341">
        <v>-26</v>
      </c>
      <c r="F27" s="345">
        <v>-43</v>
      </c>
      <c r="G27" s="341">
        <v>-28</v>
      </c>
      <c r="H27" s="449">
        <v>-43</v>
      </c>
      <c r="I27" s="448">
        <v>-36</v>
      </c>
      <c r="J27" s="448">
        <v>-47</v>
      </c>
      <c r="K27" s="448">
        <v>-44</v>
      </c>
      <c r="L27" s="448">
        <v>-17</v>
      </c>
      <c r="M27" s="448">
        <v>-34</v>
      </c>
      <c r="N27" s="448">
        <v>-37</v>
      </c>
      <c r="O27" s="448">
        <v>-23</v>
      </c>
      <c r="P27" s="448">
        <v>-20</v>
      </c>
      <c r="Q27" s="448">
        <v>-18</v>
      </c>
      <c r="R27" s="448">
        <v>-43</v>
      </c>
      <c r="S27" s="448">
        <v>-21</v>
      </c>
    </row>
    <row r="28" spans="2:20" s="333" customFormat="1" ht="12.75" customHeight="1">
      <c r="B28" s="346"/>
      <c r="C28" s="333" t="s">
        <v>87</v>
      </c>
      <c r="E28" s="341">
        <v>-61</v>
      </c>
      <c r="F28" s="345">
        <v>-32</v>
      </c>
      <c r="G28" s="341">
        <v>-15</v>
      </c>
      <c r="H28" s="449">
        <v>-15</v>
      </c>
      <c r="I28" s="448">
        <v>1</v>
      </c>
      <c r="J28" s="448">
        <v>6</v>
      </c>
      <c r="K28" s="448">
        <v>-3</v>
      </c>
      <c r="L28" s="448">
        <v>-1</v>
      </c>
      <c r="M28" s="448">
        <v>0</v>
      </c>
      <c r="N28" s="448">
        <v>1</v>
      </c>
      <c r="O28" s="448">
        <v>-19</v>
      </c>
      <c r="P28" s="448">
        <v>-3</v>
      </c>
      <c r="Q28" s="448">
        <v>-3</v>
      </c>
      <c r="R28" s="448">
        <v>-2</v>
      </c>
      <c r="S28" s="448">
        <v>0</v>
      </c>
    </row>
    <row r="29" spans="2:20" s="333" customFormat="1" ht="12.75" customHeight="1">
      <c r="B29" s="346"/>
      <c r="C29" s="333" t="s">
        <v>88</v>
      </c>
      <c r="E29" s="341">
        <v>-90</v>
      </c>
      <c r="F29" s="345">
        <v>-201</v>
      </c>
      <c r="G29" s="341">
        <v>-46</v>
      </c>
      <c r="H29" s="449">
        <v>-38</v>
      </c>
      <c r="I29" s="448">
        <v>-33</v>
      </c>
      <c r="J29" s="448">
        <v>-142</v>
      </c>
      <c r="K29" s="448">
        <v>-17</v>
      </c>
      <c r="L29" s="448">
        <v>-10</v>
      </c>
      <c r="M29" s="448">
        <v>-18</v>
      </c>
      <c r="N29" s="448">
        <v>-77</v>
      </c>
      <c r="O29" s="448">
        <v>-8</v>
      </c>
      <c r="P29" s="448">
        <v>-7</v>
      </c>
      <c r="Q29" s="448">
        <v>-7</v>
      </c>
      <c r="R29" s="448">
        <v>-50</v>
      </c>
      <c r="S29" s="448">
        <v>-3</v>
      </c>
    </row>
    <row r="30" spans="2:20" s="333" customFormat="1" ht="12.75" customHeight="1">
      <c r="B30" s="346"/>
      <c r="C30" s="333" t="s">
        <v>89</v>
      </c>
      <c r="E30" s="341">
        <v>-17</v>
      </c>
      <c r="F30" s="345">
        <v>-11</v>
      </c>
      <c r="G30" s="341">
        <v>-14</v>
      </c>
      <c r="H30" s="449">
        <v>-3</v>
      </c>
      <c r="I30" s="448">
        <v>-7</v>
      </c>
      <c r="J30" s="448">
        <v>0</v>
      </c>
      <c r="K30" s="448">
        <v>0</v>
      </c>
      <c r="L30" s="448">
        <v>0</v>
      </c>
      <c r="M30" s="448">
        <v>0</v>
      </c>
      <c r="N30" s="448">
        <v>0</v>
      </c>
      <c r="O30" s="448">
        <v>0</v>
      </c>
      <c r="P30" s="448">
        <v>0</v>
      </c>
      <c r="Q30" s="448">
        <v>0</v>
      </c>
      <c r="R30" s="448">
        <v>0</v>
      </c>
      <c r="S30" s="448">
        <v>0</v>
      </c>
    </row>
    <row r="31" spans="2:20" s="333" customFormat="1" ht="12.75" customHeight="1">
      <c r="B31" s="346"/>
      <c r="C31" s="333" t="s">
        <v>273</v>
      </c>
      <c r="E31" s="341">
        <v>0</v>
      </c>
      <c r="F31" s="345">
        <v>0</v>
      </c>
      <c r="G31" s="341">
        <v>0</v>
      </c>
      <c r="H31" s="449">
        <v>0</v>
      </c>
      <c r="I31" s="448">
        <v>0</v>
      </c>
      <c r="J31" s="448">
        <v>-409</v>
      </c>
      <c r="K31" s="448">
        <v>0</v>
      </c>
      <c r="L31" s="448">
        <v>0</v>
      </c>
      <c r="M31" s="448">
        <v>0</v>
      </c>
      <c r="N31" s="448">
        <v>-326</v>
      </c>
      <c r="O31" s="448">
        <v>0</v>
      </c>
      <c r="P31" s="448">
        <v>0</v>
      </c>
      <c r="Q31" s="448">
        <v>0</v>
      </c>
      <c r="R31" s="448">
        <v>-12</v>
      </c>
      <c r="S31" s="448">
        <v>0</v>
      </c>
    </row>
    <row r="32" spans="2:20" s="333" customFormat="1" ht="12.75" customHeight="1">
      <c r="B32" s="346"/>
      <c r="C32" s="333" t="s">
        <v>214</v>
      </c>
      <c r="E32" s="341">
        <v>-110</v>
      </c>
      <c r="F32" s="351">
        <v>-15</v>
      </c>
      <c r="G32" s="341">
        <v>-4</v>
      </c>
      <c r="H32" s="450">
        <v>-3</v>
      </c>
      <c r="I32" s="451">
        <v>0</v>
      </c>
      <c r="J32" s="451">
        <v>0</v>
      </c>
      <c r="K32" s="451">
        <v>0</v>
      </c>
      <c r="L32" s="451">
        <v>0</v>
      </c>
      <c r="M32" s="451">
        <v>0</v>
      </c>
      <c r="N32" s="451">
        <v>0</v>
      </c>
      <c r="O32" s="451">
        <v>0</v>
      </c>
      <c r="P32" s="451">
        <v>0</v>
      </c>
      <c r="Q32" s="451">
        <v>0</v>
      </c>
      <c r="R32" s="451">
        <v>0</v>
      </c>
      <c r="S32" s="451">
        <v>0</v>
      </c>
    </row>
    <row r="33" spans="2:19" s="333" customFormat="1" ht="12.75" customHeight="1" thickBot="1">
      <c r="C33" s="333" t="s">
        <v>291</v>
      </c>
      <c r="E33" s="347">
        <f t="shared" ref="E33:G33" si="6">SUM(E23:E32)-E24</f>
        <v>-194</v>
      </c>
      <c r="F33" s="347">
        <f t="shared" si="6"/>
        <v>-148</v>
      </c>
      <c r="G33" s="347">
        <f t="shared" si="6"/>
        <v>179</v>
      </c>
      <c r="H33" s="452">
        <f>SUM(H23:H32)-H24</f>
        <v>218</v>
      </c>
      <c r="I33" s="452">
        <f t="shared" ref="I33:P33" si="7">SUM(I23:I32)-I24</f>
        <v>9</v>
      </c>
      <c r="J33" s="452">
        <f t="shared" si="7"/>
        <v>-432</v>
      </c>
      <c r="K33" s="452">
        <f t="shared" si="7"/>
        <v>511</v>
      </c>
      <c r="L33" s="452">
        <f t="shared" si="7"/>
        <v>300</v>
      </c>
      <c r="M33" s="452">
        <f t="shared" si="7"/>
        <v>55</v>
      </c>
      <c r="N33" s="452">
        <f t="shared" si="7"/>
        <v>-397</v>
      </c>
      <c r="O33" s="452">
        <f t="shared" si="7"/>
        <v>674</v>
      </c>
      <c r="P33" s="452">
        <f t="shared" si="7"/>
        <v>467</v>
      </c>
      <c r="Q33" s="452">
        <f t="shared" ref="Q33:R33" si="8">SUM(Q23:Q32)-Q24</f>
        <v>162</v>
      </c>
      <c r="R33" s="452">
        <f t="shared" si="8"/>
        <v>25</v>
      </c>
      <c r="S33" s="452">
        <f t="shared" ref="S33" si="9">SUM(S23:S32)-S24</f>
        <v>513</v>
      </c>
    </row>
    <row r="34" spans="2:19" s="333" customFormat="1" ht="12.75" customHeight="1">
      <c r="D34" s="409"/>
      <c r="E34" s="352"/>
      <c r="F34" s="353"/>
      <c r="G34" s="352"/>
      <c r="H34" s="455"/>
      <c r="I34" s="441"/>
      <c r="J34" s="441"/>
      <c r="K34" s="441"/>
      <c r="L34" s="455"/>
      <c r="M34" s="441"/>
      <c r="N34" s="441"/>
      <c r="O34" s="441"/>
      <c r="P34" s="460"/>
      <c r="Q34" s="460"/>
      <c r="R34" s="460"/>
      <c r="S34" s="460"/>
    </row>
    <row r="35" spans="2:19" s="333" customFormat="1" ht="12.75" customHeight="1">
      <c r="D35" s="409" t="s">
        <v>90</v>
      </c>
      <c r="E35" s="533">
        <f t="shared" ref="E35:Q35" si="10">E23/E12</f>
        <v>0.1701534170153417</v>
      </c>
      <c r="F35" s="533">
        <f t="shared" si="10"/>
        <v>0.27486128894579598</v>
      </c>
      <c r="G35" s="533">
        <f t="shared" si="10"/>
        <v>0.1643646408839779</v>
      </c>
      <c r="H35" s="532">
        <f t="shared" si="10"/>
        <v>0.19475655430711611</v>
      </c>
      <c r="I35" s="532">
        <f t="shared" si="10"/>
        <v>9.9337748344370855E-2</v>
      </c>
      <c r="J35" s="532">
        <f t="shared" si="10"/>
        <v>0.35430861723446894</v>
      </c>
      <c r="K35" s="532">
        <f t="shared" si="10"/>
        <v>0.23109243697478993</v>
      </c>
      <c r="L35" s="532">
        <f t="shared" si="10"/>
        <v>0.14787701317715959</v>
      </c>
      <c r="M35" s="532">
        <f t="shared" si="10"/>
        <v>0.23803967327887982</v>
      </c>
      <c r="N35" s="532">
        <f t="shared" si="10"/>
        <v>0.35361067503924648</v>
      </c>
      <c r="O35" s="532">
        <f t="shared" si="10"/>
        <v>0.28874172185430463</v>
      </c>
      <c r="P35" s="532">
        <f t="shared" si="10"/>
        <v>0.23605150214592274</v>
      </c>
      <c r="Q35" s="532">
        <f t="shared" si="10"/>
        <v>0.13556618819776714</v>
      </c>
      <c r="R35" s="532">
        <f>R23/R12</f>
        <v>0.36960132890365449</v>
      </c>
      <c r="S35" s="532">
        <f>S23/S12</f>
        <v>0.15332197614991483</v>
      </c>
    </row>
    <row r="36" spans="2:19" s="333" customFormat="1" ht="12.75" customHeight="1"/>
    <row r="37" spans="2:19" s="333" customFormat="1" ht="12.75" customHeight="1">
      <c r="D37" s="409"/>
      <c r="E37" s="354"/>
      <c r="F37" s="354"/>
      <c r="G37" s="354"/>
      <c r="H37" s="456"/>
      <c r="I37" s="441"/>
      <c r="J37" s="441"/>
      <c r="K37" s="441"/>
      <c r="L37" s="456"/>
      <c r="M37" s="441"/>
      <c r="N37" s="441"/>
      <c r="O37" s="458"/>
      <c r="P37" s="457"/>
      <c r="Q37" s="457"/>
      <c r="R37" s="457"/>
      <c r="S37" s="457"/>
    </row>
    <row r="38" spans="2:19" s="333" customFormat="1">
      <c r="B38" s="332"/>
      <c r="C38" s="332"/>
    </row>
    <row r="39" spans="2:19" ht="12.75" customHeight="1">
      <c r="B39" s="348"/>
      <c r="C39" s="333"/>
      <c r="D39" s="590" t="s">
        <v>257</v>
      </c>
      <c r="E39" s="590"/>
      <c r="F39" s="590"/>
      <c r="G39" s="590"/>
      <c r="H39" s="590"/>
      <c r="I39" s="590"/>
      <c r="J39" s="590"/>
      <c r="K39" s="590"/>
      <c r="L39" s="590"/>
      <c r="M39" s="590"/>
      <c r="N39" s="590"/>
      <c r="O39" s="590"/>
    </row>
    <row r="40" spans="2:19" ht="12.75" customHeight="1">
      <c r="B40" s="348"/>
      <c r="C40" s="333"/>
      <c r="D40" s="590" t="s">
        <v>258</v>
      </c>
      <c r="E40" s="590"/>
      <c r="F40" s="590"/>
      <c r="G40" s="590"/>
      <c r="H40" s="590"/>
      <c r="I40" s="590"/>
      <c r="J40" s="590"/>
      <c r="K40" s="590"/>
      <c r="L40" s="590"/>
      <c r="M40" s="590"/>
      <c r="N40" s="590"/>
      <c r="O40" s="590"/>
    </row>
    <row r="41" spans="2:19" ht="12.75" customHeight="1">
      <c r="B41" s="348"/>
      <c r="C41" s="333"/>
      <c r="D41" s="590" t="s">
        <v>259</v>
      </c>
      <c r="E41" s="590"/>
      <c r="F41" s="590"/>
      <c r="G41" s="590"/>
      <c r="H41" s="590"/>
      <c r="I41" s="590"/>
      <c r="J41" s="590"/>
      <c r="K41" s="590"/>
      <c r="L41" s="590"/>
      <c r="M41" s="590"/>
      <c r="N41" s="590"/>
      <c r="O41" s="590"/>
    </row>
    <row r="42" spans="2:19" ht="36" customHeight="1">
      <c r="B42" s="348"/>
      <c r="C42" s="333"/>
      <c r="D42" s="590" t="s">
        <v>260</v>
      </c>
      <c r="E42" s="590"/>
      <c r="F42" s="590"/>
      <c r="G42" s="590"/>
      <c r="H42" s="590"/>
      <c r="I42" s="590"/>
      <c r="J42" s="590"/>
      <c r="K42" s="590"/>
      <c r="L42" s="590"/>
      <c r="M42" s="590"/>
      <c r="N42" s="590"/>
      <c r="O42" s="590"/>
    </row>
    <row r="43" spans="2:19" ht="12.75" customHeight="1">
      <c r="B43" s="348"/>
      <c r="C43" s="333"/>
      <c r="D43" s="333"/>
      <c r="E43" s="356"/>
      <c r="F43" s="357"/>
      <c r="G43" s="356"/>
      <c r="H43" s="459"/>
    </row>
    <row r="44" spans="2:19" ht="12.75" customHeight="1">
      <c r="B44" s="348"/>
      <c r="C44" s="333"/>
      <c r="D44" s="590" t="s">
        <v>256</v>
      </c>
      <c r="E44" s="590"/>
      <c r="F44" s="590"/>
      <c r="G44" s="590"/>
      <c r="H44" s="590"/>
      <c r="I44" s="590"/>
      <c r="J44" s="590"/>
      <c r="K44" s="590"/>
      <c r="L44" s="590"/>
      <c r="M44" s="590"/>
      <c r="N44" s="590"/>
      <c r="O44" s="590"/>
    </row>
    <row r="45" spans="2:19" ht="12.75" customHeight="1">
      <c r="B45" s="348"/>
      <c r="C45" s="333"/>
      <c r="D45" s="333"/>
      <c r="E45" s="356"/>
      <c r="F45" s="357"/>
      <c r="G45" s="356"/>
      <c r="H45" s="459"/>
    </row>
  </sheetData>
  <mergeCells count="8">
    <mergeCell ref="B1:T1"/>
    <mergeCell ref="B2:T2"/>
    <mergeCell ref="B3:T3"/>
    <mergeCell ref="D44:O44"/>
    <mergeCell ref="D41:O41"/>
    <mergeCell ref="D42:O42"/>
    <mergeCell ref="D39:O39"/>
    <mergeCell ref="D40:O40"/>
  </mergeCells>
  <pageMargins left="0.7" right="0.7" top="0.25" bottom="0.44" header="0.3" footer="0.3"/>
  <pageSetup scale="67" orientation="landscape" r:id="rId1"/>
  <headerFooter>
    <oddFooter>&amp;LActivision Blizzard, Inc.&amp;R&amp;P of &amp; 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1"/>
  <sheetViews>
    <sheetView view="pageBreakPreview" zoomScale="85" zoomScaleNormal="100" zoomScaleSheetLayoutView="85" workbookViewId="0">
      <pane xSplit="4" ySplit="7" topLeftCell="G8" activePane="bottomRight" state="frozen"/>
      <selection activeCell="J17" sqref="J17"/>
      <selection pane="topRight" activeCell="J17" sqref="J17"/>
      <selection pane="bottomLeft" activeCell="J17" sqref="J17"/>
      <selection pane="bottomRight" activeCell="J17" sqref="J17"/>
    </sheetView>
  </sheetViews>
  <sheetFormatPr defaultColWidth="11.42578125" defaultRowHeight="12" outlineLevelRow="1" outlineLevelCol="1"/>
  <cols>
    <col min="1" max="1" width="2.85546875" style="332" customWidth="1"/>
    <col min="2" max="2" width="2" style="332" customWidth="1"/>
    <col min="3" max="3" width="2.85546875" style="332" customWidth="1"/>
    <col min="4" max="4" width="37.42578125" style="332" customWidth="1"/>
    <col min="5" max="5" width="8.5703125" style="354" hidden="1" customWidth="1" outlineLevel="1"/>
    <col min="6" max="6" width="8.5703125" style="355" hidden="1" customWidth="1" outlineLevel="1"/>
    <col min="7" max="7" width="8.5703125" style="332" customWidth="1" collapsed="1"/>
    <col min="8" max="19" width="8.5703125" style="332" customWidth="1"/>
    <col min="20" max="20" width="1.42578125" style="332" customWidth="1"/>
    <col min="21" max="16384" width="11.42578125" style="332"/>
  </cols>
  <sheetData>
    <row r="1" spans="2:20" ht="18.75" customHeight="1">
      <c r="B1" s="589" t="s">
        <v>76</v>
      </c>
      <c r="C1" s="589"/>
      <c r="D1" s="589"/>
      <c r="E1" s="589"/>
      <c r="F1" s="589"/>
      <c r="G1" s="589"/>
      <c r="H1" s="589"/>
      <c r="I1" s="589"/>
      <c r="J1" s="589"/>
      <c r="K1" s="589"/>
      <c r="L1" s="589"/>
      <c r="M1" s="589"/>
      <c r="N1" s="589"/>
      <c r="O1" s="589"/>
      <c r="P1" s="589"/>
      <c r="Q1" s="589"/>
      <c r="R1" s="589"/>
      <c r="S1" s="589"/>
      <c r="T1" s="589"/>
    </row>
    <row r="2" spans="2:20" ht="12.75" customHeight="1">
      <c r="B2" s="589" t="s">
        <v>91</v>
      </c>
      <c r="C2" s="589"/>
      <c r="D2" s="589"/>
      <c r="E2" s="589"/>
      <c r="F2" s="589"/>
      <c r="G2" s="589"/>
      <c r="H2" s="589"/>
      <c r="I2" s="589"/>
      <c r="J2" s="589"/>
      <c r="K2" s="589"/>
      <c r="L2" s="589"/>
      <c r="M2" s="589"/>
      <c r="N2" s="589"/>
      <c r="O2" s="589"/>
      <c r="P2" s="589"/>
      <c r="Q2" s="589"/>
      <c r="R2" s="589"/>
      <c r="S2" s="589"/>
      <c r="T2" s="589"/>
    </row>
    <row r="3" spans="2:20" ht="12.75" customHeight="1">
      <c r="B3" s="589" t="s">
        <v>78</v>
      </c>
      <c r="C3" s="589"/>
      <c r="D3" s="589"/>
      <c r="E3" s="589"/>
      <c r="F3" s="589"/>
      <c r="G3" s="589"/>
      <c r="H3" s="589"/>
      <c r="I3" s="589"/>
      <c r="J3" s="589"/>
      <c r="K3" s="589"/>
      <c r="L3" s="589"/>
      <c r="M3" s="589"/>
      <c r="N3" s="589"/>
      <c r="O3" s="589"/>
      <c r="P3" s="589"/>
      <c r="Q3" s="589"/>
      <c r="R3" s="589"/>
      <c r="S3" s="589"/>
      <c r="T3" s="589"/>
    </row>
    <row r="4" spans="2:20" ht="12.75" customHeight="1">
      <c r="E4" s="335"/>
      <c r="F4" s="336"/>
    </row>
    <row r="5" spans="2:20" ht="12.75" customHeight="1">
      <c r="B5" s="333"/>
      <c r="C5" s="333"/>
      <c r="D5" s="333"/>
      <c r="E5" s="359"/>
      <c r="F5" s="359"/>
    </row>
    <row r="6" spans="2:20" s="333" customFormat="1" ht="12.75" customHeight="1">
      <c r="E6" s="19" t="s">
        <v>250</v>
      </c>
      <c r="F6" s="334" t="s">
        <v>6</v>
      </c>
      <c r="G6" s="334" t="s">
        <v>3</v>
      </c>
      <c r="H6" s="334" t="s">
        <v>4</v>
      </c>
      <c r="I6" s="337" t="s">
        <v>5</v>
      </c>
      <c r="J6" s="337" t="s">
        <v>6</v>
      </c>
      <c r="K6" s="337" t="s">
        <v>3</v>
      </c>
      <c r="L6" s="337" t="s">
        <v>4</v>
      </c>
      <c r="M6" s="337" t="s">
        <v>5</v>
      </c>
      <c r="N6" s="337" t="s">
        <v>6</v>
      </c>
      <c r="O6" s="337" t="s">
        <v>3</v>
      </c>
      <c r="P6" s="337" t="s">
        <v>4</v>
      </c>
      <c r="Q6" s="337" t="s">
        <v>5</v>
      </c>
      <c r="R6" s="337" t="s">
        <v>6</v>
      </c>
      <c r="S6" s="337" t="s">
        <v>3</v>
      </c>
    </row>
    <row r="7" spans="2:20" s="333" customFormat="1" ht="12.75" customHeight="1" thickBot="1">
      <c r="E7" s="338" t="s">
        <v>43</v>
      </c>
      <c r="F7" s="339" t="s">
        <v>43</v>
      </c>
      <c r="G7" s="339" t="s">
        <v>44</v>
      </c>
      <c r="H7" s="339" t="s">
        <v>44</v>
      </c>
      <c r="I7" s="337" t="s">
        <v>44</v>
      </c>
      <c r="J7" s="337" t="s">
        <v>44</v>
      </c>
      <c r="K7" s="337" t="s">
        <v>45</v>
      </c>
      <c r="L7" s="337" t="s">
        <v>45</v>
      </c>
      <c r="M7" s="337" t="s">
        <v>45</v>
      </c>
      <c r="N7" s="337" t="s">
        <v>45</v>
      </c>
      <c r="O7" s="337" t="s">
        <v>46</v>
      </c>
      <c r="P7" s="337" t="s">
        <v>46</v>
      </c>
      <c r="Q7" s="337" t="s">
        <v>46</v>
      </c>
      <c r="R7" s="337" t="s">
        <v>46</v>
      </c>
      <c r="S7" s="337" t="s">
        <v>296</v>
      </c>
    </row>
    <row r="8" spans="2:20" ht="12.75" customHeight="1">
      <c r="B8" s="346" t="s">
        <v>92</v>
      </c>
      <c r="C8" s="358"/>
      <c r="D8" s="358"/>
      <c r="E8" s="340"/>
      <c r="F8" s="340"/>
      <c r="G8" s="340"/>
      <c r="H8" s="340"/>
      <c r="I8" s="340"/>
      <c r="J8" s="340"/>
      <c r="K8" s="340"/>
      <c r="L8" s="340"/>
      <c r="M8" s="340"/>
      <c r="N8" s="340"/>
      <c r="O8" s="340"/>
      <c r="P8" s="340"/>
      <c r="Q8" s="340"/>
      <c r="R8" s="340"/>
      <c r="S8" s="340"/>
    </row>
    <row r="9" spans="2:20" ht="12.75" customHeight="1">
      <c r="B9" s="333"/>
      <c r="C9" s="333" t="s">
        <v>93</v>
      </c>
      <c r="D9" s="333"/>
      <c r="E9" s="360">
        <v>295</v>
      </c>
      <c r="F9" s="341">
        <v>903</v>
      </c>
      <c r="G9" s="69">
        <v>524</v>
      </c>
      <c r="H9" s="69">
        <v>557</v>
      </c>
      <c r="I9" s="69">
        <v>378</v>
      </c>
      <c r="J9" s="69">
        <v>759</v>
      </c>
      <c r="K9" s="69">
        <v>703</v>
      </c>
      <c r="L9" s="69">
        <v>567</v>
      </c>
      <c r="M9" s="69">
        <v>406</v>
      </c>
      <c r="N9" s="69">
        <v>734</v>
      </c>
      <c r="O9" s="69">
        <v>748</v>
      </c>
      <c r="P9" s="69">
        <v>580</v>
      </c>
      <c r="Q9" s="69">
        <v>360</v>
      </c>
      <c r="R9" s="69">
        <v>718</v>
      </c>
      <c r="S9" s="69">
        <v>601</v>
      </c>
    </row>
    <row r="10" spans="2:20" ht="12.75" customHeight="1">
      <c r="B10" s="333"/>
      <c r="C10" s="333" t="s">
        <v>94</v>
      </c>
      <c r="D10" s="333"/>
      <c r="E10" s="360">
        <v>348</v>
      </c>
      <c r="F10" s="341">
        <v>660</v>
      </c>
      <c r="G10" s="69">
        <v>392</v>
      </c>
      <c r="H10" s="69">
        <v>408</v>
      </c>
      <c r="I10" s="69">
        <v>287</v>
      </c>
      <c r="J10" s="69">
        <v>710</v>
      </c>
      <c r="K10" s="69">
        <v>524</v>
      </c>
      <c r="L10" s="69">
        <v>337</v>
      </c>
      <c r="M10" s="69">
        <v>281</v>
      </c>
      <c r="N10" s="69">
        <v>600</v>
      </c>
      <c r="O10" s="69">
        <v>594</v>
      </c>
      <c r="P10" s="69">
        <v>467</v>
      </c>
      <c r="Q10" s="69">
        <v>323</v>
      </c>
      <c r="R10" s="69">
        <v>605</v>
      </c>
      <c r="S10" s="69">
        <v>485</v>
      </c>
    </row>
    <row r="11" spans="2:20" s="333" customFormat="1" ht="12.75" customHeight="1">
      <c r="C11" s="333" t="s">
        <v>95</v>
      </c>
      <c r="E11" s="361">
        <v>62</v>
      </c>
      <c r="F11" s="343">
        <v>75</v>
      </c>
      <c r="G11" s="344">
        <v>64</v>
      </c>
      <c r="H11" s="344">
        <v>73</v>
      </c>
      <c r="I11" s="344">
        <v>38</v>
      </c>
      <c r="J11" s="344">
        <v>88</v>
      </c>
      <c r="K11" s="344">
        <v>81</v>
      </c>
      <c r="L11" s="344">
        <v>63</v>
      </c>
      <c r="M11" s="344">
        <v>58</v>
      </c>
      <c r="N11" s="344">
        <v>93</v>
      </c>
      <c r="O11" s="344">
        <v>107</v>
      </c>
      <c r="P11" s="344">
        <v>99</v>
      </c>
      <c r="Q11" s="344">
        <v>71</v>
      </c>
      <c r="R11" s="344">
        <v>84</v>
      </c>
      <c r="S11" s="344">
        <v>86</v>
      </c>
    </row>
    <row r="12" spans="2:20" s="333" customFormat="1" ht="12.75" customHeight="1">
      <c r="C12" s="333" t="s">
        <v>176</v>
      </c>
      <c r="E12" s="360">
        <f>SUM(E9:E11)</f>
        <v>705</v>
      </c>
      <c r="F12" s="360">
        <f t="shared" ref="F12:P12" si="0">SUM(F9:F11)</f>
        <v>1638</v>
      </c>
      <c r="G12" s="360">
        <f t="shared" si="0"/>
        <v>980</v>
      </c>
      <c r="H12" s="360">
        <f t="shared" si="0"/>
        <v>1038</v>
      </c>
      <c r="I12" s="360">
        <f t="shared" si="0"/>
        <v>703</v>
      </c>
      <c r="J12" s="360">
        <f t="shared" si="0"/>
        <v>1557</v>
      </c>
      <c r="K12" s="360">
        <f t="shared" si="0"/>
        <v>1308</v>
      </c>
      <c r="L12" s="360">
        <f t="shared" si="0"/>
        <v>967</v>
      </c>
      <c r="M12" s="360">
        <f t="shared" si="0"/>
        <v>745</v>
      </c>
      <c r="N12" s="360">
        <f t="shared" si="0"/>
        <v>1427</v>
      </c>
      <c r="O12" s="360">
        <f t="shared" si="0"/>
        <v>1449</v>
      </c>
      <c r="P12" s="360">
        <f t="shared" si="0"/>
        <v>1146</v>
      </c>
      <c r="Q12" s="360">
        <f t="shared" ref="Q12:R12" si="1">SUM(Q9:Q11)</f>
        <v>754</v>
      </c>
      <c r="R12" s="360">
        <f t="shared" si="1"/>
        <v>1407</v>
      </c>
      <c r="S12" s="360">
        <f t="shared" ref="S12" si="2">SUM(S9:S11)</f>
        <v>1172</v>
      </c>
    </row>
    <row r="13" spans="2:20" s="333" customFormat="1" ht="12.75" customHeight="1">
      <c r="E13" s="360"/>
      <c r="F13" s="341"/>
      <c r="G13" s="342"/>
      <c r="H13" s="342"/>
      <c r="I13" s="342"/>
      <c r="J13" s="342"/>
      <c r="K13" s="342"/>
      <c r="L13" s="342"/>
      <c r="M13" s="342"/>
      <c r="N13" s="342"/>
      <c r="O13" s="342"/>
      <c r="P13" s="342"/>
      <c r="Q13" s="342"/>
      <c r="R13" s="342"/>
      <c r="S13" s="342"/>
    </row>
    <row r="14" spans="2:20" ht="12.75" customHeight="1">
      <c r="B14" s="333"/>
      <c r="C14" s="333" t="s">
        <v>177</v>
      </c>
      <c r="D14" s="333"/>
      <c r="E14" s="361">
        <v>6</v>
      </c>
      <c r="F14" s="343">
        <v>1</v>
      </c>
      <c r="G14" s="69">
        <v>1</v>
      </c>
      <c r="H14" s="69">
        <v>0</v>
      </c>
      <c r="I14" s="69">
        <v>0</v>
      </c>
      <c r="J14" s="69">
        <v>0</v>
      </c>
      <c r="K14" s="69">
        <v>0</v>
      </c>
      <c r="L14" s="69">
        <v>0</v>
      </c>
      <c r="M14" s="69">
        <v>0</v>
      </c>
      <c r="N14" s="69">
        <v>0</v>
      </c>
      <c r="O14" s="69">
        <v>0</v>
      </c>
      <c r="P14" s="69">
        <v>0</v>
      </c>
      <c r="Q14" s="69">
        <v>0</v>
      </c>
      <c r="R14" s="69">
        <v>0</v>
      </c>
      <c r="S14" s="69">
        <v>0</v>
      </c>
    </row>
    <row r="15" spans="2:20" ht="12.75" customHeight="1" thickBot="1">
      <c r="B15" s="333"/>
      <c r="C15" s="333" t="s">
        <v>96</v>
      </c>
      <c r="D15" s="333"/>
      <c r="E15" s="347">
        <f>+E12+E14</f>
        <v>711</v>
      </c>
      <c r="F15" s="347">
        <f>+F12+F14</f>
        <v>1639</v>
      </c>
      <c r="G15" s="347">
        <f>+G12+G14</f>
        <v>981</v>
      </c>
      <c r="H15" s="347">
        <f t="shared" ref="H15:N15" si="3">SUM(H9:H11)</f>
        <v>1038</v>
      </c>
      <c r="I15" s="347">
        <f t="shared" si="3"/>
        <v>703</v>
      </c>
      <c r="J15" s="347">
        <f t="shared" si="3"/>
        <v>1557</v>
      </c>
      <c r="K15" s="347">
        <f t="shared" si="3"/>
        <v>1308</v>
      </c>
      <c r="L15" s="347">
        <f t="shared" si="3"/>
        <v>967</v>
      </c>
      <c r="M15" s="347">
        <f t="shared" si="3"/>
        <v>745</v>
      </c>
      <c r="N15" s="347">
        <f t="shared" si="3"/>
        <v>1427</v>
      </c>
      <c r="O15" s="347">
        <f>SUM(O9:O11)</f>
        <v>1449</v>
      </c>
      <c r="P15" s="347">
        <f>SUM(P9:P11)</f>
        <v>1146</v>
      </c>
      <c r="Q15" s="347">
        <f>SUM(Q9:Q11)</f>
        <v>754</v>
      </c>
      <c r="R15" s="347">
        <f>SUM(R9:R11)</f>
        <v>1407</v>
      </c>
      <c r="S15" s="347">
        <f>SUM(S9:S11)</f>
        <v>1172</v>
      </c>
    </row>
    <row r="16" spans="2:20" ht="12.75" customHeight="1">
      <c r="B16" s="333"/>
      <c r="C16" s="333"/>
      <c r="D16" s="333"/>
      <c r="E16" s="341"/>
      <c r="F16" s="341"/>
      <c r="G16" s="341"/>
      <c r="H16" s="341"/>
      <c r="I16" s="341"/>
      <c r="J16" s="341"/>
      <c r="K16" s="341"/>
      <c r="L16" s="341"/>
      <c r="M16" s="341"/>
      <c r="N16" s="341"/>
      <c r="O16" s="341"/>
      <c r="P16" s="341"/>
      <c r="Q16" s="341"/>
      <c r="R16" s="341"/>
      <c r="S16" s="341"/>
    </row>
    <row r="17" spans="2:19" ht="12.75" customHeight="1">
      <c r="B17" s="346" t="s">
        <v>215</v>
      </c>
      <c r="C17" s="333"/>
      <c r="D17" s="333"/>
      <c r="E17" s="349"/>
      <c r="F17" s="349"/>
      <c r="G17" s="349"/>
      <c r="H17" s="349"/>
      <c r="I17" s="349"/>
      <c r="J17" s="349"/>
      <c r="K17" s="349"/>
      <c r="L17" s="349"/>
      <c r="M17" s="349"/>
      <c r="N17" s="349"/>
      <c r="O17" s="349"/>
      <c r="P17" s="349"/>
      <c r="Q17" s="349"/>
      <c r="R17" s="349"/>
      <c r="S17" s="349"/>
    </row>
    <row r="18" spans="2:19" ht="12.75" customHeight="1">
      <c r="B18" s="333"/>
      <c r="C18" s="333" t="s">
        <v>93</v>
      </c>
      <c r="D18" s="333"/>
      <c r="E18" s="350"/>
      <c r="F18" s="350">
        <f>F26-F9</f>
        <v>443</v>
      </c>
      <c r="G18" s="350">
        <f t="shared" ref="G18:N18" si="4">G26-G9</f>
        <v>-150</v>
      </c>
      <c r="H18" s="350">
        <f t="shared" si="4"/>
        <v>-165</v>
      </c>
      <c r="I18" s="350">
        <f t="shared" si="4"/>
        <v>26</v>
      </c>
      <c r="J18" s="350">
        <f t="shared" si="4"/>
        <v>528</v>
      </c>
      <c r="K18" s="350">
        <f t="shared" si="4"/>
        <v>-312</v>
      </c>
      <c r="L18" s="350">
        <f t="shared" si="4"/>
        <v>-192</v>
      </c>
      <c r="M18" s="350">
        <f t="shared" si="4"/>
        <v>41</v>
      </c>
      <c r="N18" s="350">
        <f t="shared" si="4"/>
        <v>627</v>
      </c>
      <c r="O18" s="350">
        <f t="shared" ref="O18:P20" si="5">O26-O9</f>
        <v>-383</v>
      </c>
      <c r="P18" s="350">
        <f t="shared" si="5"/>
        <v>-249</v>
      </c>
      <c r="Q18" s="350">
        <f t="shared" ref="Q18:R18" si="6">Q26-Q9</f>
        <v>-72</v>
      </c>
      <c r="R18" s="350">
        <f t="shared" si="6"/>
        <v>548</v>
      </c>
      <c r="S18" s="350">
        <f t="shared" ref="S18" si="7">S26-S9</f>
        <v>-331</v>
      </c>
    </row>
    <row r="19" spans="2:19" ht="12.75" customHeight="1">
      <c r="B19" s="333"/>
      <c r="C19" s="333" t="s">
        <v>94</v>
      </c>
      <c r="D19" s="333"/>
      <c r="E19" s="350"/>
      <c r="F19" s="350">
        <f t="shared" ref="F19" si="8">F27-F10</f>
        <v>241</v>
      </c>
      <c r="G19" s="350">
        <f t="shared" ref="G19:N19" si="9">G27-G10</f>
        <v>-99</v>
      </c>
      <c r="H19" s="350">
        <f t="shared" si="9"/>
        <v>-69</v>
      </c>
      <c r="I19" s="350">
        <f t="shared" si="9"/>
        <v>22</v>
      </c>
      <c r="J19" s="350">
        <f t="shared" si="9"/>
        <v>371</v>
      </c>
      <c r="K19" s="350">
        <f t="shared" si="9"/>
        <v>-254</v>
      </c>
      <c r="L19" s="350">
        <f t="shared" si="9"/>
        <v>-79</v>
      </c>
      <c r="M19" s="350">
        <f t="shared" si="9"/>
        <v>53</v>
      </c>
      <c r="N19" s="350">
        <f t="shared" si="9"/>
        <v>440</v>
      </c>
      <c r="O19" s="350">
        <f t="shared" si="5"/>
        <v>-271</v>
      </c>
      <c r="P19" s="350">
        <f t="shared" si="5"/>
        <v>-181</v>
      </c>
      <c r="Q19" s="350">
        <f t="shared" ref="Q19:R19" si="10">Q27-Q10</f>
        <v>-45</v>
      </c>
      <c r="R19" s="350">
        <f t="shared" si="10"/>
        <v>395</v>
      </c>
      <c r="S19" s="350">
        <f t="shared" ref="S19" si="11">S27-S10</f>
        <v>-225</v>
      </c>
    </row>
    <row r="20" spans="2:19" ht="12.75" customHeight="1">
      <c r="B20" s="333"/>
      <c r="C20" s="333" t="s">
        <v>95</v>
      </c>
      <c r="D20" s="333"/>
      <c r="E20" s="350"/>
      <c r="F20" s="350">
        <f t="shared" ref="F20" si="12">F28-F11</f>
        <v>21</v>
      </c>
      <c r="G20" s="350">
        <f t="shared" ref="G20:N20" si="13">G28-G11</f>
        <v>-7</v>
      </c>
      <c r="H20" s="350">
        <f t="shared" si="13"/>
        <v>-3</v>
      </c>
      <c r="I20" s="350">
        <f t="shared" si="13"/>
        <v>4</v>
      </c>
      <c r="J20" s="350">
        <f t="shared" si="13"/>
        <v>39</v>
      </c>
      <c r="K20" s="350">
        <f t="shared" si="13"/>
        <v>-28</v>
      </c>
      <c r="L20" s="350">
        <f t="shared" si="13"/>
        <v>-13</v>
      </c>
      <c r="M20" s="350">
        <f t="shared" si="13"/>
        <v>18</v>
      </c>
      <c r="N20" s="350">
        <f t="shared" si="13"/>
        <v>54</v>
      </c>
      <c r="O20" s="350">
        <f t="shared" si="5"/>
        <v>-40</v>
      </c>
      <c r="P20" s="350">
        <f t="shared" si="5"/>
        <v>-17</v>
      </c>
      <c r="Q20" s="350">
        <f t="shared" ref="Q20:R20" si="14">Q28-Q11</f>
        <v>-10</v>
      </c>
      <c r="R20" s="350">
        <f t="shared" si="14"/>
        <v>58</v>
      </c>
      <c r="S20" s="350">
        <f t="shared" ref="S20" si="15">S28-S11</f>
        <v>-29</v>
      </c>
    </row>
    <row r="21" spans="2:19" ht="12.75" customHeight="1">
      <c r="B21" s="333"/>
      <c r="C21" s="333" t="s">
        <v>97</v>
      </c>
      <c r="D21" s="333"/>
      <c r="E21" s="341"/>
      <c r="F21" s="362">
        <f t="shared" ref="F21" si="16">SUM(F18:F20)</f>
        <v>705</v>
      </c>
      <c r="G21" s="362">
        <f t="shared" ref="G21:N21" si="17">SUM(G18:G20)</f>
        <v>-256</v>
      </c>
      <c r="H21" s="362">
        <f t="shared" si="17"/>
        <v>-237</v>
      </c>
      <c r="I21" s="362">
        <f t="shared" si="17"/>
        <v>52</v>
      </c>
      <c r="J21" s="362">
        <f t="shared" si="17"/>
        <v>938</v>
      </c>
      <c r="K21" s="362">
        <f t="shared" si="17"/>
        <v>-594</v>
      </c>
      <c r="L21" s="362">
        <f t="shared" si="17"/>
        <v>-284</v>
      </c>
      <c r="M21" s="362">
        <f t="shared" si="17"/>
        <v>112</v>
      </c>
      <c r="N21" s="362">
        <f t="shared" si="17"/>
        <v>1121</v>
      </c>
      <c r="O21" s="362">
        <f>SUM(O18:O20)</f>
        <v>-694</v>
      </c>
      <c r="P21" s="362">
        <f>SUM(P18:P20)</f>
        <v>-447</v>
      </c>
      <c r="Q21" s="362">
        <f>SUM(Q18:Q20)</f>
        <v>-127</v>
      </c>
      <c r="R21" s="362">
        <f>SUM(R18:R20)</f>
        <v>1001</v>
      </c>
      <c r="S21" s="362">
        <f>SUM(S18:S20)</f>
        <v>-585</v>
      </c>
    </row>
    <row r="22" spans="2:19" ht="6" customHeight="1">
      <c r="B22" s="333"/>
      <c r="C22" s="333"/>
      <c r="D22" s="333"/>
      <c r="E22" s="341"/>
      <c r="F22" s="341"/>
      <c r="G22" s="341"/>
      <c r="H22" s="341"/>
      <c r="I22" s="341"/>
      <c r="J22" s="341"/>
      <c r="K22" s="341"/>
      <c r="L22" s="341"/>
      <c r="M22" s="341"/>
      <c r="N22" s="341"/>
      <c r="O22" s="341"/>
      <c r="P22" s="341"/>
      <c r="Q22" s="341"/>
      <c r="R22" s="341"/>
      <c r="S22" s="341"/>
    </row>
    <row r="23" spans="2:19" ht="12.75" customHeight="1">
      <c r="B23" s="363" t="s">
        <v>216</v>
      </c>
      <c r="C23" s="333"/>
      <c r="D23" s="333"/>
      <c r="E23" s="350"/>
      <c r="F23" s="411">
        <v>-1</v>
      </c>
      <c r="G23" s="411">
        <v>-1</v>
      </c>
      <c r="H23" s="411">
        <f t="shared" ref="H23:N23" si="18">H31-H17</f>
        <v>0</v>
      </c>
      <c r="I23" s="411">
        <f t="shared" si="18"/>
        <v>0</v>
      </c>
      <c r="J23" s="411">
        <f t="shared" si="18"/>
        <v>0</v>
      </c>
      <c r="K23" s="411">
        <f t="shared" si="18"/>
        <v>0</v>
      </c>
      <c r="L23" s="411">
        <f t="shared" si="18"/>
        <v>0</v>
      </c>
      <c r="M23" s="411">
        <f t="shared" si="18"/>
        <v>0</v>
      </c>
      <c r="N23" s="411">
        <f t="shared" si="18"/>
        <v>0</v>
      </c>
      <c r="O23" s="411">
        <f>O31-O17</f>
        <v>0</v>
      </c>
      <c r="P23" s="411">
        <f>P31-P17</f>
        <v>0</v>
      </c>
      <c r="Q23" s="411">
        <f>Q31-Q17</f>
        <v>0</v>
      </c>
      <c r="R23" s="411">
        <f>R31-R17</f>
        <v>0</v>
      </c>
      <c r="S23" s="411">
        <f>S31-S17</f>
        <v>0</v>
      </c>
    </row>
    <row r="24" spans="2:19" ht="12.75" customHeight="1">
      <c r="B24" s="333"/>
      <c r="C24" s="333"/>
      <c r="D24" s="333"/>
      <c r="E24" s="341"/>
      <c r="F24" s="341"/>
      <c r="G24" s="341"/>
      <c r="H24" s="341"/>
      <c r="I24" s="341"/>
      <c r="J24" s="341"/>
      <c r="K24" s="341"/>
      <c r="L24" s="341"/>
      <c r="M24" s="341"/>
      <c r="N24" s="341"/>
      <c r="O24" s="341"/>
      <c r="P24" s="341"/>
      <c r="Q24" s="341"/>
      <c r="R24" s="341"/>
      <c r="S24" s="341"/>
    </row>
    <row r="25" spans="2:19" ht="12.75" customHeight="1">
      <c r="B25" s="346" t="s">
        <v>98</v>
      </c>
      <c r="C25" s="333"/>
      <c r="D25" s="333"/>
      <c r="E25" s="350"/>
      <c r="F25" s="350"/>
      <c r="G25" s="350"/>
      <c r="H25" s="350"/>
      <c r="I25" s="350"/>
      <c r="J25" s="350"/>
      <c r="K25" s="350"/>
      <c r="L25" s="350"/>
      <c r="M25" s="350"/>
      <c r="N25" s="350"/>
      <c r="O25" s="350"/>
      <c r="P25" s="350"/>
      <c r="Q25" s="350"/>
      <c r="R25" s="350"/>
      <c r="S25" s="350"/>
    </row>
    <row r="26" spans="2:19" ht="12.75" customHeight="1">
      <c r="B26" s="333"/>
      <c r="C26" s="333" t="s">
        <v>93</v>
      </c>
      <c r="D26" s="333"/>
      <c r="E26" s="360"/>
      <c r="F26" s="360">
        <v>1346</v>
      </c>
      <c r="G26" s="360">
        <v>374</v>
      </c>
      <c r="H26" s="360">
        <v>392</v>
      </c>
      <c r="I26" s="360">
        <v>404</v>
      </c>
      <c r="J26" s="360">
        <v>1287</v>
      </c>
      <c r="K26" s="360">
        <v>391</v>
      </c>
      <c r="L26" s="360">
        <v>375</v>
      </c>
      <c r="M26" s="360">
        <v>447</v>
      </c>
      <c r="N26" s="360">
        <v>1361</v>
      </c>
      <c r="O26" s="360">
        <v>365</v>
      </c>
      <c r="P26" s="360">
        <v>331</v>
      </c>
      <c r="Q26" s="360">
        <v>288</v>
      </c>
      <c r="R26" s="360">
        <v>1266</v>
      </c>
      <c r="S26" s="360">
        <v>270</v>
      </c>
    </row>
    <row r="27" spans="2:19" ht="12.75" customHeight="1">
      <c r="B27" s="333"/>
      <c r="C27" s="333" t="s">
        <v>94</v>
      </c>
      <c r="D27" s="333"/>
      <c r="E27" s="360"/>
      <c r="F27" s="360">
        <v>901</v>
      </c>
      <c r="G27" s="360">
        <v>293</v>
      </c>
      <c r="H27" s="360">
        <v>339</v>
      </c>
      <c r="I27" s="360">
        <v>309</v>
      </c>
      <c r="J27" s="360">
        <v>1081</v>
      </c>
      <c r="K27" s="360">
        <v>270</v>
      </c>
      <c r="L27" s="360">
        <v>258</v>
      </c>
      <c r="M27" s="360">
        <v>334</v>
      </c>
      <c r="N27" s="360">
        <v>1040</v>
      </c>
      <c r="O27" s="360">
        <v>323</v>
      </c>
      <c r="P27" s="360">
        <v>286</v>
      </c>
      <c r="Q27" s="360">
        <v>278</v>
      </c>
      <c r="R27" s="360">
        <v>1000</v>
      </c>
      <c r="S27" s="360">
        <v>260</v>
      </c>
    </row>
    <row r="28" spans="2:19" ht="12.75" customHeight="1">
      <c r="B28" s="333"/>
      <c r="C28" s="333" t="s">
        <v>95</v>
      </c>
      <c r="D28" s="333"/>
      <c r="E28" s="360"/>
      <c r="F28" s="361">
        <v>96</v>
      </c>
      <c r="G28" s="361">
        <v>57</v>
      </c>
      <c r="H28" s="361">
        <v>70</v>
      </c>
      <c r="I28" s="361">
        <v>42</v>
      </c>
      <c r="J28" s="361">
        <v>127</v>
      </c>
      <c r="K28" s="361">
        <v>53</v>
      </c>
      <c r="L28" s="361">
        <v>50</v>
      </c>
      <c r="M28" s="361">
        <v>76</v>
      </c>
      <c r="N28" s="361">
        <v>147</v>
      </c>
      <c r="O28" s="361">
        <v>67</v>
      </c>
      <c r="P28" s="361">
        <v>82</v>
      </c>
      <c r="Q28" s="361">
        <v>61</v>
      </c>
      <c r="R28" s="361">
        <v>142</v>
      </c>
      <c r="S28" s="361">
        <v>57</v>
      </c>
    </row>
    <row r="29" spans="2:19" ht="14.25" thickBot="1">
      <c r="B29" s="333"/>
      <c r="C29" s="333" t="s">
        <v>217</v>
      </c>
      <c r="D29" s="333"/>
      <c r="E29" s="341"/>
      <c r="F29" s="347">
        <f t="shared" ref="F29" si="19">SUM(F26:F28)</f>
        <v>2343</v>
      </c>
      <c r="G29" s="347">
        <f t="shared" ref="G29:N29" si="20">SUM(G26:G28)</f>
        <v>724</v>
      </c>
      <c r="H29" s="347">
        <f t="shared" si="20"/>
        <v>801</v>
      </c>
      <c r="I29" s="347">
        <f t="shared" si="20"/>
        <v>755</v>
      </c>
      <c r="J29" s="347">
        <f t="shared" si="20"/>
        <v>2495</v>
      </c>
      <c r="K29" s="347">
        <f t="shared" si="20"/>
        <v>714</v>
      </c>
      <c r="L29" s="347">
        <f t="shared" si="20"/>
        <v>683</v>
      </c>
      <c r="M29" s="347">
        <f t="shared" si="20"/>
        <v>857</v>
      </c>
      <c r="N29" s="347">
        <f t="shared" si="20"/>
        <v>2548</v>
      </c>
      <c r="O29" s="347">
        <f>SUM(O26:O28)</f>
        <v>755</v>
      </c>
      <c r="P29" s="347">
        <f>SUM(P26:P28)</f>
        <v>699</v>
      </c>
      <c r="Q29" s="347">
        <f>SUM(Q26:Q28)</f>
        <v>627</v>
      </c>
      <c r="R29" s="347">
        <f>SUM(R26:R28)</f>
        <v>2408</v>
      </c>
      <c r="S29" s="347">
        <f>SUM(S26:S28)</f>
        <v>587</v>
      </c>
    </row>
    <row r="30" spans="2:19" ht="12.75" customHeight="1">
      <c r="B30" s="333"/>
      <c r="C30" s="333"/>
      <c r="D30" s="333"/>
      <c r="F30" s="354"/>
    </row>
    <row r="31" spans="2:19">
      <c r="B31" s="333"/>
      <c r="C31" s="333"/>
      <c r="D31" s="333"/>
      <c r="E31" s="364"/>
    </row>
    <row r="32" spans="2:19" ht="13.5" customHeight="1">
      <c r="B32" s="333"/>
      <c r="C32" s="591" t="s">
        <v>218</v>
      </c>
      <c r="D32" s="591"/>
      <c r="E32" s="591"/>
      <c r="F32" s="591"/>
      <c r="G32" s="591"/>
      <c r="H32" s="591"/>
      <c r="I32" s="591"/>
      <c r="J32" s="591"/>
      <c r="K32" s="591"/>
      <c r="L32" s="591"/>
      <c r="M32" s="591"/>
      <c r="N32" s="591"/>
      <c r="O32" s="591"/>
    </row>
    <row r="33" spans="2:11" ht="13.5">
      <c r="B33" s="346"/>
      <c r="C33" s="365" t="s">
        <v>219</v>
      </c>
      <c r="D33" s="333"/>
      <c r="E33" s="364"/>
    </row>
    <row r="34" spans="2:11" ht="13.5">
      <c r="B34" s="346"/>
      <c r="C34" s="365"/>
      <c r="D34" s="333"/>
      <c r="E34" s="364"/>
    </row>
    <row r="35" spans="2:11" ht="14.25" hidden="1" outlineLevel="1">
      <c r="B35" s="333"/>
      <c r="C35" s="466" t="s">
        <v>253</v>
      </c>
      <c r="D35" s="462"/>
      <c r="E35" s="463"/>
      <c r="F35" s="464"/>
      <c r="G35" s="465"/>
      <c r="H35" s="465"/>
      <c r="I35" s="465"/>
      <c r="J35" s="465"/>
      <c r="K35" s="465"/>
    </row>
    <row r="36" spans="2:11" hidden="1" outlineLevel="1">
      <c r="B36" s="333"/>
      <c r="C36" s="333" t="s">
        <v>255</v>
      </c>
      <c r="D36" s="333"/>
      <c r="E36" s="364"/>
    </row>
    <row r="37" spans="2:11" hidden="1" outlineLevel="1">
      <c r="B37" s="333"/>
      <c r="C37" s="333"/>
      <c r="D37" s="333"/>
      <c r="E37" s="364"/>
    </row>
    <row r="38" spans="2:11" collapsed="1">
      <c r="B38" s="333"/>
      <c r="C38" s="333"/>
      <c r="D38" s="333"/>
      <c r="E38" s="364"/>
    </row>
    <row r="39" spans="2:11">
      <c r="B39" s="333"/>
      <c r="C39" s="333"/>
      <c r="D39" s="333"/>
      <c r="E39" s="364"/>
    </row>
    <row r="40" spans="2:11">
      <c r="B40" s="333"/>
      <c r="C40" s="333"/>
      <c r="D40" s="333"/>
      <c r="E40" s="364"/>
    </row>
    <row r="41" spans="2:11">
      <c r="B41" s="333"/>
      <c r="C41" s="333"/>
      <c r="D41" s="333"/>
      <c r="E41" s="364"/>
    </row>
    <row r="42" spans="2:11">
      <c r="B42" s="333"/>
      <c r="C42" s="333"/>
      <c r="D42" s="333"/>
      <c r="E42" s="364"/>
    </row>
    <row r="43" spans="2:11" s="355" customFormat="1">
      <c r="B43" s="333"/>
      <c r="C43" s="333"/>
      <c r="D43" s="333"/>
      <c r="E43" s="364"/>
      <c r="G43" s="332"/>
      <c r="H43" s="332"/>
      <c r="I43" s="332"/>
      <c r="J43" s="332"/>
      <c r="K43" s="332"/>
    </row>
    <row r="44" spans="2:11" s="355" customFormat="1">
      <c r="B44" s="333"/>
      <c r="C44" s="333"/>
      <c r="D44" s="333"/>
      <c r="E44" s="364"/>
      <c r="G44" s="332"/>
      <c r="H44" s="332"/>
      <c r="I44" s="332"/>
      <c r="J44" s="332"/>
      <c r="K44" s="332"/>
    </row>
    <row r="45" spans="2:11" s="355" customFormat="1">
      <c r="B45" s="333"/>
      <c r="C45" s="333"/>
      <c r="D45" s="333"/>
      <c r="E45" s="364"/>
      <c r="G45" s="332"/>
      <c r="H45" s="332"/>
      <c r="I45" s="332"/>
      <c r="J45" s="332"/>
      <c r="K45" s="332"/>
    </row>
    <row r="46" spans="2:11" s="355" customFormat="1">
      <c r="B46" s="333"/>
      <c r="C46" s="333"/>
      <c r="D46" s="333"/>
      <c r="E46" s="364"/>
      <c r="G46" s="332"/>
      <c r="H46" s="332"/>
      <c r="I46" s="332"/>
      <c r="J46" s="332"/>
      <c r="K46" s="332"/>
    </row>
    <row r="47" spans="2:11" s="355" customFormat="1">
      <c r="B47" s="333"/>
      <c r="C47" s="333"/>
      <c r="D47" s="333"/>
      <c r="E47" s="364"/>
      <c r="G47" s="332"/>
      <c r="H47" s="332"/>
      <c r="I47" s="332"/>
      <c r="J47" s="332"/>
      <c r="K47" s="332"/>
    </row>
    <row r="48" spans="2:11" s="355" customFormat="1">
      <c r="B48" s="333"/>
      <c r="C48" s="333"/>
      <c r="D48" s="333"/>
      <c r="E48" s="364"/>
      <c r="G48" s="332"/>
      <c r="H48" s="332"/>
      <c r="I48" s="332"/>
      <c r="J48" s="332"/>
      <c r="K48" s="332"/>
    </row>
    <row r="49" spans="2:11" s="355" customFormat="1">
      <c r="B49" s="333"/>
      <c r="C49" s="333"/>
      <c r="D49" s="333"/>
      <c r="E49" s="364"/>
      <c r="G49" s="332"/>
      <c r="H49" s="332"/>
      <c r="I49" s="332"/>
      <c r="J49" s="332"/>
      <c r="K49" s="332"/>
    </row>
    <row r="50" spans="2:11" s="355" customFormat="1">
      <c r="B50" s="333"/>
      <c r="C50" s="333"/>
      <c r="D50" s="333"/>
      <c r="E50" s="364"/>
      <c r="G50" s="332"/>
      <c r="H50" s="332"/>
      <c r="I50" s="332"/>
      <c r="J50" s="332"/>
      <c r="K50" s="332"/>
    </row>
    <row r="51" spans="2:11" s="355" customFormat="1">
      <c r="B51" s="333"/>
      <c r="C51" s="333"/>
      <c r="D51" s="333"/>
      <c r="E51" s="364"/>
      <c r="G51" s="332"/>
      <c r="H51" s="332"/>
      <c r="I51" s="332"/>
      <c r="J51" s="332"/>
      <c r="K51" s="332"/>
    </row>
  </sheetData>
  <mergeCells count="4">
    <mergeCell ref="C32:O32"/>
    <mergeCell ref="B1:T1"/>
    <mergeCell ref="B2:T2"/>
    <mergeCell ref="B3:T3"/>
  </mergeCells>
  <pageMargins left="0.7" right="0.7" top="0.25" bottom="0.44" header="0.3" footer="0.3"/>
  <pageSetup scale="78" orientation="landscape" r:id="rId1"/>
  <headerFooter>
    <oddFooter>&amp;LActivision Blizzard, Inc.&amp;R&amp;P of &amp; 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89"/>
  <sheetViews>
    <sheetView showGridLines="0" view="pageBreakPreview" zoomScale="85" zoomScaleNormal="100" zoomScaleSheetLayoutView="85" workbookViewId="0">
      <pane xSplit="4" ySplit="7" topLeftCell="G8" activePane="bottomRight" state="frozen"/>
      <selection activeCell="J17" sqref="J17"/>
      <selection pane="topRight" activeCell="J17" sqref="J17"/>
      <selection pane="bottomLeft" activeCell="J17" sqref="J17"/>
      <selection pane="bottomRight" activeCell="J17" sqref="J17"/>
    </sheetView>
  </sheetViews>
  <sheetFormatPr defaultColWidth="11.42578125" defaultRowHeight="12" outlineLevelRow="1" outlineLevelCol="1"/>
  <cols>
    <col min="1" max="1" width="2.85546875" style="332" customWidth="1"/>
    <col min="2" max="2" width="2" style="332" customWidth="1"/>
    <col min="3" max="3" width="2.85546875" style="332" customWidth="1"/>
    <col min="4" max="4" width="36.85546875" style="332" customWidth="1"/>
    <col min="5" max="5" width="8.5703125" style="354" hidden="1" customWidth="1" outlineLevel="1"/>
    <col min="6" max="6" width="8.5703125" style="332" hidden="1" customWidth="1" outlineLevel="1"/>
    <col min="7" max="7" width="8.5703125" style="332" customWidth="1" collapsed="1"/>
    <col min="8" max="9" width="8.5703125" style="332" customWidth="1"/>
    <col min="10" max="12" width="8.5703125" style="440" customWidth="1"/>
    <col min="13" max="19" width="8.5703125" style="332" customWidth="1"/>
    <col min="20" max="20" width="2.5703125" style="332" customWidth="1"/>
    <col min="21" max="16384" width="11.42578125" style="332"/>
  </cols>
  <sheetData>
    <row r="1" spans="2:20" ht="18.75" customHeight="1">
      <c r="B1" s="589" t="s">
        <v>76</v>
      </c>
      <c r="C1" s="589"/>
      <c r="D1" s="589"/>
      <c r="E1" s="589"/>
      <c r="F1" s="589"/>
      <c r="G1" s="589"/>
      <c r="H1" s="589"/>
      <c r="I1" s="589"/>
      <c r="J1" s="589"/>
      <c r="K1" s="589"/>
      <c r="L1" s="589"/>
      <c r="M1" s="589"/>
      <c r="N1" s="589"/>
      <c r="O1" s="589"/>
      <c r="P1" s="589"/>
      <c r="Q1" s="589"/>
      <c r="R1" s="589"/>
      <c r="S1" s="589"/>
      <c r="T1" s="589"/>
    </row>
    <row r="2" spans="2:20">
      <c r="B2" s="589" t="s">
        <v>91</v>
      </c>
      <c r="C2" s="589"/>
      <c r="D2" s="589"/>
      <c r="E2" s="589"/>
      <c r="F2" s="589"/>
      <c r="G2" s="589"/>
      <c r="H2" s="589"/>
      <c r="I2" s="589"/>
      <c r="J2" s="589"/>
      <c r="K2" s="589"/>
      <c r="L2" s="589"/>
      <c r="M2" s="589"/>
      <c r="N2" s="589"/>
      <c r="O2" s="589"/>
      <c r="P2" s="589"/>
      <c r="Q2" s="589"/>
      <c r="R2" s="589"/>
      <c r="S2" s="589"/>
      <c r="T2" s="589"/>
    </row>
    <row r="3" spans="2:20" ht="12.75" customHeight="1">
      <c r="B3" s="589" t="s">
        <v>78</v>
      </c>
      <c r="C3" s="589"/>
      <c r="D3" s="589"/>
      <c r="E3" s="589"/>
      <c r="F3" s="589"/>
      <c r="G3" s="589"/>
      <c r="H3" s="589"/>
      <c r="I3" s="589"/>
      <c r="J3" s="589"/>
      <c r="K3" s="589"/>
      <c r="L3" s="589"/>
      <c r="M3" s="589"/>
      <c r="N3" s="589"/>
      <c r="O3" s="589"/>
      <c r="P3" s="589"/>
      <c r="Q3" s="589"/>
      <c r="R3" s="589"/>
      <c r="S3" s="589"/>
      <c r="T3" s="589"/>
    </row>
    <row r="4" spans="2:20">
      <c r="E4" s="366"/>
      <c r="F4" s="333"/>
      <c r="G4" s="333"/>
    </row>
    <row r="5" spans="2:20">
      <c r="E5" s="359"/>
      <c r="F5" s="359"/>
      <c r="G5" s="359"/>
    </row>
    <row r="6" spans="2:20" s="333" customFormat="1" ht="12.75" customHeight="1">
      <c r="E6" s="19" t="s">
        <v>250</v>
      </c>
      <c r="F6" s="534" t="s">
        <v>6</v>
      </c>
      <c r="G6" s="534" t="s">
        <v>3</v>
      </c>
      <c r="H6" s="534" t="s">
        <v>4</v>
      </c>
      <c r="I6" s="337" t="s">
        <v>5</v>
      </c>
      <c r="J6" s="444" t="s">
        <v>6</v>
      </c>
      <c r="K6" s="444" t="s">
        <v>3</v>
      </c>
      <c r="L6" s="444" t="s">
        <v>4</v>
      </c>
      <c r="M6" s="337" t="s">
        <v>5</v>
      </c>
      <c r="N6" s="337" t="s">
        <v>6</v>
      </c>
      <c r="O6" s="337" t="s">
        <v>3</v>
      </c>
      <c r="P6" s="337" t="s">
        <v>4</v>
      </c>
      <c r="Q6" s="337" t="s">
        <v>5</v>
      </c>
      <c r="R6" s="337" t="s">
        <v>6</v>
      </c>
      <c r="S6" s="337" t="s">
        <v>3</v>
      </c>
    </row>
    <row r="7" spans="2:20" s="333" customFormat="1" ht="12.75" customHeight="1" thickBot="1">
      <c r="E7" s="338" t="s">
        <v>43</v>
      </c>
      <c r="F7" s="339" t="s">
        <v>43</v>
      </c>
      <c r="G7" s="339" t="s">
        <v>44</v>
      </c>
      <c r="H7" s="339" t="s">
        <v>44</v>
      </c>
      <c r="I7" s="337" t="s">
        <v>44</v>
      </c>
      <c r="J7" s="444" t="s">
        <v>44</v>
      </c>
      <c r="K7" s="444" t="s">
        <v>45</v>
      </c>
      <c r="L7" s="444" t="s">
        <v>45</v>
      </c>
      <c r="M7" s="337" t="s">
        <v>45</v>
      </c>
      <c r="N7" s="337" t="s">
        <v>45</v>
      </c>
      <c r="O7" s="337" t="s">
        <v>46</v>
      </c>
      <c r="P7" s="337" t="s">
        <v>46</v>
      </c>
      <c r="Q7" s="337" t="s">
        <v>46</v>
      </c>
      <c r="R7" s="337" t="s">
        <v>46</v>
      </c>
      <c r="S7" s="337" t="s">
        <v>296</v>
      </c>
    </row>
    <row r="8" spans="2:20" s="358" customFormat="1">
      <c r="B8" s="346" t="s">
        <v>100</v>
      </c>
      <c r="E8" s="340"/>
      <c r="F8" s="340"/>
      <c r="G8" s="367"/>
      <c r="H8" s="340"/>
      <c r="I8" s="340"/>
      <c r="J8" s="484"/>
      <c r="K8" s="446"/>
      <c r="L8" s="446"/>
      <c r="M8" s="367"/>
      <c r="N8" s="340"/>
      <c r="O8" s="340"/>
      <c r="P8" s="367"/>
      <c r="Q8" s="367"/>
      <c r="R8" s="367"/>
      <c r="S8" s="367"/>
    </row>
    <row r="9" spans="2:20" ht="12" customHeight="1">
      <c r="B9" s="333" t="s">
        <v>101</v>
      </c>
      <c r="C9" s="333"/>
      <c r="D9" s="333"/>
      <c r="E9" s="364"/>
      <c r="F9" s="364"/>
      <c r="G9" s="368"/>
    </row>
    <row r="10" spans="2:20" ht="12" customHeight="1">
      <c r="B10" s="333"/>
      <c r="C10" s="333" t="s">
        <v>116</v>
      </c>
      <c r="D10" s="333"/>
      <c r="E10" s="369">
        <v>274</v>
      </c>
      <c r="F10" s="369">
        <v>326</v>
      </c>
      <c r="G10" s="370">
        <v>319</v>
      </c>
      <c r="H10" s="369">
        <v>327</v>
      </c>
      <c r="I10" s="369">
        <v>306</v>
      </c>
      <c r="J10" s="485">
        <v>308</v>
      </c>
      <c r="K10" s="486">
        <v>310</v>
      </c>
      <c r="L10" s="486">
        <v>291</v>
      </c>
      <c r="M10" s="370">
        <v>289</v>
      </c>
      <c r="N10" s="369">
        <v>340</v>
      </c>
      <c r="O10" s="369">
        <v>395</v>
      </c>
      <c r="P10" s="369">
        <v>359</v>
      </c>
      <c r="Q10" s="369">
        <v>336</v>
      </c>
      <c r="R10" s="369">
        <v>268</v>
      </c>
      <c r="S10" s="369">
        <v>256</v>
      </c>
    </row>
    <row r="11" spans="2:20" ht="12" customHeight="1">
      <c r="B11" s="333"/>
      <c r="C11" s="333" t="s">
        <v>102</v>
      </c>
      <c r="D11" s="333"/>
      <c r="E11" s="356">
        <v>22</v>
      </c>
      <c r="F11" s="356">
        <v>48</v>
      </c>
      <c r="G11" s="370">
        <v>41</v>
      </c>
      <c r="H11" s="356">
        <v>38</v>
      </c>
      <c r="I11" s="356">
        <v>27</v>
      </c>
      <c r="J11" s="485">
        <v>46</v>
      </c>
      <c r="K11" s="459">
        <v>49</v>
      </c>
      <c r="L11" s="459">
        <v>79</v>
      </c>
      <c r="M11" s="370">
        <v>73</v>
      </c>
      <c r="N11" s="356">
        <v>124</v>
      </c>
      <c r="O11" s="356">
        <v>124</v>
      </c>
      <c r="P11" s="356">
        <v>80</v>
      </c>
      <c r="Q11" s="356">
        <v>45</v>
      </c>
      <c r="R11" s="356">
        <v>123</v>
      </c>
      <c r="S11" s="356">
        <v>137</v>
      </c>
    </row>
    <row r="12" spans="2:20" ht="10.5" customHeight="1">
      <c r="B12" s="333"/>
      <c r="C12" s="333"/>
      <c r="D12" s="333" t="s">
        <v>103</v>
      </c>
      <c r="E12" s="356">
        <v>60</v>
      </c>
      <c r="F12" s="356">
        <v>163</v>
      </c>
      <c r="G12" s="370">
        <v>131</v>
      </c>
      <c r="H12" s="356">
        <v>152</v>
      </c>
      <c r="I12" s="356">
        <v>73</v>
      </c>
      <c r="J12" s="485">
        <v>228</v>
      </c>
      <c r="K12" s="459">
        <v>304</v>
      </c>
      <c r="L12" s="459">
        <v>182</v>
      </c>
      <c r="M12" s="370">
        <v>109</v>
      </c>
      <c r="N12" s="356">
        <v>259</v>
      </c>
      <c r="O12" s="356">
        <v>342</v>
      </c>
      <c r="P12" s="356">
        <v>239</v>
      </c>
      <c r="Q12" s="356">
        <v>96</v>
      </c>
      <c r="R12" s="356">
        <v>259</v>
      </c>
      <c r="S12" s="356">
        <v>300</v>
      </c>
    </row>
    <row r="13" spans="2:20" ht="10.5" customHeight="1">
      <c r="B13" s="333"/>
      <c r="C13" s="333"/>
      <c r="D13" s="333" t="s">
        <v>104</v>
      </c>
      <c r="E13" s="356">
        <v>57</v>
      </c>
      <c r="F13" s="356">
        <v>205</v>
      </c>
      <c r="G13" s="370">
        <v>40</v>
      </c>
      <c r="H13" s="356">
        <v>44</v>
      </c>
      <c r="I13" s="356">
        <v>37</v>
      </c>
      <c r="J13" s="485">
        <v>53</v>
      </c>
      <c r="K13" s="459">
        <v>15</v>
      </c>
      <c r="L13" s="459">
        <v>9</v>
      </c>
      <c r="M13" s="370">
        <v>6</v>
      </c>
      <c r="N13" s="356">
        <v>6</v>
      </c>
      <c r="O13" s="356">
        <v>4</v>
      </c>
      <c r="P13" s="356">
        <v>2</v>
      </c>
      <c r="Q13" s="356">
        <v>4</v>
      </c>
      <c r="R13" s="356">
        <v>3</v>
      </c>
      <c r="S13" s="356">
        <v>2</v>
      </c>
    </row>
    <row r="14" spans="2:20" ht="12" customHeight="1">
      <c r="B14" s="333"/>
      <c r="C14" s="333"/>
      <c r="D14" s="333" t="s">
        <v>105</v>
      </c>
      <c r="E14" s="356">
        <v>72</v>
      </c>
      <c r="F14" s="356">
        <v>273</v>
      </c>
      <c r="G14" s="370">
        <v>198</v>
      </c>
      <c r="H14" s="356">
        <v>231</v>
      </c>
      <c r="I14" s="356">
        <v>104</v>
      </c>
      <c r="J14" s="485">
        <v>324</v>
      </c>
      <c r="K14" s="459">
        <v>384</v>
      </c>
      <c r="L14" s="459">
        <v>240</v>
      </c>
      <c r="M14" s="370">
        <v>127</v>
      </c>
      <c r="N14" s="356">
        <v>281</v>
      </c>
      <c r="O14" s="356">
        <v>396</v>
      </c>
      <c r="P14" s="356">
        <v>300</v>
      </c>
      <c r="Q14" s="356">
        <v>144</v>
      </c>
      <c r="R14" s="356">
        <v>300</v>
      </c>
      <c r="S14" s="356">
        <v>335</v>
      </c>
    </row>
    <row r="15" spans="2:20" ht="12" customHeight="1">
      <c r="B15" s="333"/>
      <c r="C15" s="333"/>
      <c r="D15" s="333" t="s">
        <v>106</v>
      </c>
      <c r="E15" s="371">
        <v>83</v>
      </c>
      <c r="F15" s="371">
        <v>317</v>
      </c>
      <c r="G15" s="372">
        <v>134</v>
      </c>
      <c r="H15" s="371">
        <v>118</v>
      </c>
      <c r="I15" s="371">
        <v>72</v>
      </c>
      <c r="J15" s="487">
        <v>260</v>
      </c>
      <c r="K15" s="488">
        <v>136</v>
      </c>
      <c r="L15" s="488">
        <v>76</v>
      </c>
      <c r="M15" s="372">
        <v>56</v>
      </c>
      <c r="N15" s="371">
        <v>141</v>
      </c>
      <c r="O15" s="371">
        <v>82</v>
      </c>
      <c r="P15" s="371">
        <v>70</v>
      </c>
      <c r="Q15" s="371">
        <v>33</v>
      </c>
      <c r="R15" s="371">
        <v>166</v>
      </c>
      <c r="S15" s="371">
        <v>51</v>
      </c>
    </row>
    <row r="16" spans="2:20">
      <c r="B16" s="333"/>
      <c r="C16" s="333" t="s">
        <v>243</v>
      </c>
      <c r="D16" s="333"/>
      <c r="E16" s="356">
        <f t="shared" ref="E16:N16" si="0">SUM(E12:E15)</f>
        <v>272</v>
      </c>
      <c r="F16" s="356">
        <f t="shared" si="0"/>
        <v>958</v>
      </c>
      <c r="G16" s="356">
        <f t="shared" si="0"/>
        <v>503</v>
      </c>
      <c r="H16" s="356">
        <f t="shared" si="0"/>
        <v>545</v>
      </c>
      <c r="I16" s="356">
        <f t="shared" si="0"/>
        <v>286</v>
      </c>
      <c r="J16" s="459">
        <f t="shared" si="0"/>
        <v>865</v>
      </c>
      <c r="K16" s="459">
        <f t="shared" si="0"/>
        <v>839</v>
      </c>
      <c r="L16" s="459">
        <f t="shared" si="0"/>
        <v>507</v>
      </c>
      <c r="M16" s="356">
        <f t="shared" si="0"/>
        <v>298</v>
      </c>
      <c r="N16" s="356">
        <f t="shared" si="0"/>
        <v>687</v>
      </c>
      <c r="O16" s="356">
        <f>SUM(O12:O15)</f>
        <v>824</v>
      </c>
      <c r="P16" s="356">
        <f>SUM(P12:P15)</f>
        <v>611</v>
      </c>
      <c r="Q16" s="356">
        <f>SUM(Q12:Q15)</f>
        <v>277</v>
      </c>
      <c r="R16" s="356">
        <f>SUM(R12:R15)</f>
        <v>728</v>
      </c>
      <c r="S16" s="356">
        <f>SUM(S12:S15)</f>
        <v>688</v>
      </c>
    </row>
    <row r="17" spans="2:19">
      <c r="B17" s="333"/>
      <c r="C17" s="333"/>
      <c r="D17" s="333" t="s">
        <v>107</v>
      </c>
      <c r="E17" s="356">
        <v>12</v>
      </c>
      <c r="F17" s="356">
        <v>17</v>
      </c>
      <c r="G17" s="370">
        <v>6</v>
      </c>
      <c r="H17" s="356">
        <v>17</v>
      </c>
      <c r="I17" s="356">
        <v>9</v>
      </c>
      <c r="J17" s="485">
        <v>16</v>
      </c>
      <c r="K17" s="459">
        <v>5</v>
      </c>
      <c r="L17" s="459">
        <v>3</v>
      </c>
      <c r="M17" s="370">
        <v>3</v>
      </c>
      <c r="N17" s="356">
        <v>6</v>
      </c>
      <c r="O17" s="356">
        <v>5</v>
      </c>
      <c r="P17" s="356">
        <v>4</v>
      </c>
      <c r="Q17" s="356">
        <v>4</v>
      </c>
      <c r="R17" s="356">
        <v>3</v>
      </c>
      <c r="S17" s="356">
        <v>3</v>
      </c>
    </row>
    <row r="18" spans="2:19">
      <c r="B18" s="333"/>
      <c r="C18" s="333"/>
      <c r="D18" s="333" t="s">
        <v>274</v>
      </c>
      <c r="E18" s="356">
        <v>0</v>
      </c>
      <c r="F18" s="356">
        <v>0</v>
      </c>
      <c r="G18" s="370">
        <v>0</v>
      </c>
      <c r="H18" s="356">
        <v>0</v>
      </c>
      <c r="I18" s="356">
        <v>0</v>
      </c>
      <c r="J18" s="485">
        <v>0</v>
      </c>
      <c r="K18" s="459">
        <v>0</v>
      </c>
      <c r="L18" s="459">
        <v>0</v>
      </c>
      <c r="M18" s="370">
        <v>0</v>
      </c>
      <c r="N18" s="356">
        <v>0</v>
      </c>
      <c r="O18" s="356">
        <v>4</v>
      </c>
      <c r="P18" s="356">
        <v>5</v>
      </c>
      <c r="Q18" s="356">
        <v>0</v>
      </c>
      <c r="R18" s="356">
        <v>26</v>
      </c>
      <c r="S18" s="356">
        <v>9</v>
      </c>
    </row>
    <row r="19" spans="2:19">
      <c r="B19" s="333"/>
      <c r="C19" s="333"/>
      <c r="D19" s="333" t="s">
        <v>108</v>
      </c>
      <c r="E19" s="371">
        <v>69</v>
      </c>
      <c r="F19" s="371">
        <v>118</v>
      </c>
      <c r="G19" s="372">
        <v>26</v>
      </c>
      <c r="H19" s="371">
        <v>48</v>
      </c>
      <c r="I19" s="371">
        <v>21</v>
      </c>
      <c r="J19" s="487">
        <v>101</v>
      </c>
      <c r="K19" s="488">
        <v>34</v>
      </c>
      <c r="L19" s="488">
        <v>36</v>
      </c>
      <c r="M19" s="372">
        <v>20</v>
      </c>
      <c r="N19" s="371">
        <v>77</v>
      </c>
      <c r="O19" s="371">
        <f>22</f>
        <v>22</v>
      </c>
      <c r="P19" s="371">
        <f>24</f>
        <v>24</v>
      </c>
      <c r="Q19" s="371">
        <v>15</v>
      </c>
      <c r="R19" s="371">
        <v>56</v>
      </c>
      <c r="S19" s="371">
        <v>14</v>
      </c>
    </row>
    <row r="20" spans="2:19" s="333" customFormat="1">
      <c r="C20" s="333" t="s">
        <v>109</v>
      </c>
      <c r="E20" s="356">
        <f t="shared" ref="E20:P20" si="1">SUM(E17:E19)</f>
        <v>81</v>
      </c>
      <c r="F20" s="356">
        <f t="shared" si="1"/>
        <v>135</v>
      </c>
      <c r="G20" s="356">
        <f t="shared" si="1"/>
        <v>32</v>
      </c>
      <c r="H20" s="356">
        <f t="shared" si="1"/>
        <v>65</v>
      </c>
      <c r="I20" s="356">
        <f t="shared" si="1"/>
        <v>30</v>
      </c>
      <c r="J20" s="459">
        <f t="shared" si="1"/>
        <v>117</v>
      </c>
      <c r="K20" s="459">
        <f t="shared" si="1"/>
        <v>39</v>
      </c>
      <c r="L20" s="459">
        <f t="shared" si="1"/>
        <v>39</v>
      </c>
      <c r="M20" s="356">
        <f t="shared" si="1"/>
        <v>23</v>
      </c>
      <c r="N20" s="356">
        <f t="shared" si="1"/>
        <v>83</v>
      </c>
      <c r="O20" s="356">
        <f t="shared" si="1"/>
        <v>31</v>
      </c>
      <c r="P20" s="356">
        <f t="shared" si="1"/>
        <v>33</v>
      </c>
      <c r="Q20" s="356">
        <f t="shared" ref="Q20:R20" si="2">SUM(Q17:Q19)</f>
        <v>19</v>
      </c>
      <c r="R20" s="356">
        <f t="shared" si="2"/>
        <v>85</v>
      </c>
      <c r="S20" s="356">
        <f t="shared" ref="S20" si="3">SUM(S17:S19)</f>
        <v>26</v>
      </c>
    </row>
    <row r="21" spans="2:19" s="333" customFormat="1">
      <c r="C21" s="333" t="s">
        <v>110</v>
      </c>
      <c r="E21" s="373">
        <f t="shared" ref="E21:P21" si="4">E10+E11+E16+E20</f>
        <v>649</v>
      </c>
      <c r="F21" s="373">
        <f t="shared" si="4"/>
        <v>1467</v>
      </c>
      <c r="G21" s="373">
        <f t="shared" si="4"/>
        <v>895</v>
      </c>
      <c r="H21" s="373">
        <f t="shared" si="4"/>
        <v>975</v>
      </c>
      <c r="I21" s="373">
        <f t="shared" si="4"/>
        <v>649</v>
      </c>
      <c r="J21" s="489">
        <f t="shared" si="4"/>
        <v>1336</v>
      </c>
      <c r="K21" s="489">
        <f t="shared" si="4"/>
        <v>1237</v>
      </c>
      <c r="L21" s="489">
        <f t="shared" si="4"/>
        <v>916</v>
      </c>
      <c r="M21" s="373">
        <f t="shared" si="4"/>
        <v>683</v>
      </c>
      <c r="N21" s="373">
        <f t="shared" si="4"/>
        <v>1234</v>
      </c>
      <c r="O21" s="373">
        <f t="shared" si="4"/>
        <v>1374</v>
      </c>
      <c r="P21" s="373">
        <f t="shared" si="4"/>
        <v>1083</v>
      </c>
      <c r="Q21" s="373">
        <f t="shared" ref="Q21:R21" si="5">Q10+Q11+Q16+Q20</f>
        <v>677</v>
      </c>
      <c r="R21" s="373">
        <f t="shared" si="5"/>
        <v>1204</v>
      </c>
      <c r="S21" s="373">
        <f t="shared" ref="S21" si="6">S10+S11+S16+S20</f>
        <v>1107</v>
      </c>
    </row>
    <row r="22" spans="2:19" s="333" customFormat="1">
      <c r="E22" s="356"/>
      <c r="F22" s="356"/>
      <c r="G22" s="357"/>
      <c r="H22" s="356"/>
      <c r="I22" s="356"/>
      <c r="J22" s="490"/>
      <c r="K22" s="459"/>
      <c r="L22" s="459"/>
      <c r="M22" s="357"/>
      <c r="N22" s="356"/>
      <c r="O22" s="356"/>
      <c r="P22" s="356"/>
      <c r="Q22" s="356"/>
      <c r="R22" s="356"/>
      <c r="S22" s="356"/>
    </row>
    <row r="23" spans="2:19" s="333" customFormat="1" ht="12.75" customHeight="1">
      <c r="B23" s="333" t="s">
        <v>111</v>
      </c>
      <c r="E23" s="370"/>
      <c r="F23" s="370"/>
      <c r="G23" s="357"/>
      <c r="H23" s="370"/>
      <c r="I23" s="370"/>
      <c r="J23" s="490"/>
      <c r="K23" s="485"/>
      <c r="L23" s="485"/>
      <c r="M23" s="357"/>
      <c r="N23" s="370"/>
      <c r="O23" s="370"/>
      <c r="P23" s="370"/>
      <c r="Q23" s="370"/>
      <c r="R23" s="370"/>
      <c r="S23" s="370"/>
    </row>
    <row r="24" spans="2:19" s="333" customFormat="1">
      <c r="C24" s="333" t="s">
        <v>112</v>
      </c>
      <c r="E24" s="371">
        <v>56</v>
      </c>
      <c r="F24" s="371">
        <v>171</v>
      </c>
      <c r="G24" s="372">
        <v>85</v>
      </c>
      <c r="H24" s="371">
        <v>63</v>
      </c>
      <c r="I24" s="371">
        <v>54</v>
      </c>
      <c r="J24" s="487">
        <v>221</v>
      </c>
      <c r="K24" s="488">
        <v>71</v>
      </c>
      <c r="L24" s="488">
        <v>51</v>
      </c>
      <c r="M24" s="372">
        <v>62</v>
      </c>
      <c r="N24" s="371">
        <v>193</v>
      </c>
      <c r="O24" s="371">
        <v>75</v>
      </c>
      <c r="P24" s="371">
        <v>63</v>
      </c>
      <c r="Q24" s="371">
        <v>77</v>
      </c>
      <c r="R24" s="371">
        <v>203</v>
      </c>
      <c r="S24" s="371">
        <v>65</v>
      </c>
    </row>
    <row r="25" spans="2:19" s="333" customFormat="1">
      <c r="C25" s="333" t="s">
        <v>99</v>
      </c>
      <c r="E25" s="373">
        <f t="shared" ref="E25:N25" si="7">SUM(E21:E24)</f>
        <v>705</v>
      </c>
      <c r="F25" s="373">
        <f t="shared" si="7"/>
        <v>1638</v>
      </c>
      <c r="G25" s="373">
        <f t="shared" si="7"/>
        <v>980</v>
      </c>
      <c r="H25" s="373">
        <f t="shared" si="7"/>
        <v>1038</v>
      </c>
      <c r="I25" s="373">
        <f t="shared" si="7"/>
        <v>703</v>
      </c>
      <c r="J25" s="489">
        <f t="shared" si="7"/>
        <v>1557</v>
      </c>
      <c r="K25" s="489">
        <f t="shared" si="7"/>
        <v>1308</v>
      </c>
      <c r="L25" s="489">
        <f t="shared" si="7"/>
        <v>967</v>
      </c>
      <c r="M25" s="373">
        <f t="shared" si="7"/>
        <v>745</v>
      </c>
      <c r="N25" s="373">
        <f t="shared" si="7"/>
        <v>1427</v>
      </c>
      <c r="O25" s="373">
        <f>SUM(O21:O24)</f>
        <v>1449</v>
      </c>
      <c r="P25" s="373">
        <f>SUM(P21:P24)</f>
        <v>1146</v>
      </c>
      <c r="Q25" s="373">
        <f>SUM(Q21:Q24)</f>
        <v>754</v>
      </c>
      <c r="R25" s="373">
        <f>SUM(R21:R24)</f>
        <v>1407</v>
      </c>
      <c r="S25" s="373">
        <f>SUM(S21:S24)</f>
        <v>1172</v>
      </c>
    </row>
    <row r="26" spans="2:19" s="333" customFormat="1" ht="4.5" customHeight="1">
      <c r="E26" s="356"/>
      <c r="F26" s="356"/>
      <c r="G26" s="356"/>
      <c r="H26" s="356"/>
      <c r="I26" s="356"/>
      <c r="J26" s="459"/>
      <c r="K26" s="459"/>
      <c r="L26" s="459"/>
      <c r="M26" s="356"/>
      <c r="N26" s="356"/>
      <c r="O26" s="356"/>
      <c r="P26" s="356"/>
      <c r="Q26" s="356"/>
      <c r="R26" s="356"/>
      <c r="S26" s="356"/>
    </row>
    <row r="27" spans="2:19" s="333" customFormat="1">
      <c r="C27" s="333" t="s">
        <v>163</v>
      </c>
      <c r="E27" s="356">
        <v>6</v>
      </c>
      <c r="F27" s="356">
        <v>1</v>
      </c>
      <c r="G27" s="356">
        <v>1</v>
      </c>
      <c r="H27" s="356">
        <v>0</v>
      </c>
      <c r="I27" s="356">
        <v>0</v>
      </c>
      <c r="J27" s="459">
        <v>0</v>
      </c>
      <c r="K27" s="459">
        <v>0</v>
      </c>
      <c r="L27" s="459">
        <v>0</v>
      </c>
      <c r="M27" s="356">
        <v>0</v>
      </c>
      <c r="N27" s="356">
        <v>0</v>
      </c>
      <c r="O27" s="356">
        <v>0</v>
      </c>
      <c r="P27" s="356">
        <v>0</v>
      </c>
      <c r="Q27" s="356">
        <v>0</v>
      </c>
      <c r="R27" s="356">
        <v>0</v>
      </c>
      <c r="S27" s="356">
        <v>0</v>
      </c>
    </row>
    <row r="28" spans="2:19" s="333" customFormat="1" ht="12.75" thickBot="1">
      <c r="C28" s="333" t="s">
        <v>99</v>
      </c>
      <c r="E28" s="400">
        <f>SUM(E25:E27)</f>
        <v>711</v>
      </c>
      <c r="F28" s="400">
        <f t="shared" ref="F28:P28" si="8">SUM(F25:F27)</f>
        <v>1639</v>
      </c>
      <c r="G28" s="400">
        <f t="shared" si="8"/>
        <v>981</v>
      </c>
      <c r="H28" s="400">
        <f t="shared" si="8"/>
        <v>1038</v>
      </c>
      <c r="I28" s="400">
        <f t="shared" si="8"/>
        <v>703</v>
      </c>
      <c r="J28" s="491">
        <f t="shared" si="8"/>
        <v>1557</v>
      </c>
      <c r="K28" s="491">
        <f t="shared" si="8"/>
        <v>1308</v>
      </c>
      <c r="L28" s="491">
        <f t="shared" si="8"/>
        <v>967</v>
      </c>
      <c r="M28" s="400">
        <f t="shared" si="8"/>
        <v>745</v>
      </c>
      <c r="N28" s="400">
        <f t="shared" si="8"/>
        <v>1427</v>
      </c>
      <c r="O28" s="400">
        <f t="shared" si="8"/>
        <v>1449</v>
      </c>
      <c r="P28" s="400">
        <f t="shared" si="8"/>
        <v>1146</v>
      </c>
      <c r="Q28" s="400">
        <f t="shared" ref="Q28:R28" si="9">SUM(Q25:Q27)</f>
        <v>754</v>
      </c>
      <c r="R28" s="400">
        <f t="shared" si="9"/>
        <v>1407</v>
      </c>
      <c r="S28" s="400">
        <f t="shared" ref="S28" si="10">SUM(S25:S27)</f>
        <v>1172</v>
      </c>
    </row>
    <row r="29" spans="2:19" s="333" customFormat="1">
      <c r="E29" s="356"/>
      <c r="F29" s="356"/>
      <c r="G29" s="356"/>
      <c r="H29" s="356"/>
      <c r="I29" s="356"/>
      <c r="J29" s="459"/>
      <c r="K29" s="459"/>
      <c r="L29" s="459"/>
      <c r="M29" s="356"/>
      <c r="N29" s="356"/>
      <c r="O29" s="356"/>
      <c r="P29" s="356"/>
      <c r="Q29" s="356"/>
      <c r="R29" s="356"/>
      <c r="S29" s="356"/>
    </row>
    <row r="30" spans="2:19" ht="13.5">
      <c r="B30" s="346" t="s">
        <v>215</v>
      </c>
      <c r="C30" s="333"/>
      <c r="D30" s="333"/>
      <c r="E30" s="374"/>
      <c r="F30" s="375"/>
      <c r="G30" s="375"/>
      <c r="H30" s="374"/>
      <c r="I30" s="375"/>
      <c r="J30" s="492"/>
      <c r="K30" s="493"/>
      <c r="L30" s="492"/>
      <c r="M30" s="375"/>
      <c r="N30" s="374"/>
      <c r="O30" s="375"/>
      <c r="P30" s="375"/>
      <c r="Q30" s="375"/>
      <c r="R30" s="375"/>
      <c r="S30" s="375"/>
    </row>
    <row r="31" spans="2:19" s="333" customFormat="1" ht="12" customHeight="1">
      <c r="B31" s="333" t="s">
        <v>101</v>
      </c>
      <c r="E31" s="377"/>
      <c r="F31" s="376"/>
      <c r="G31" s="376"/>
      <c r="H31" s="377"/>
      <c r="I31" s="376"/>
      <c r="J31" s="494"/>
      <c r="K31" s="495"/>
      <c r="L31" s="494"/>
      <c r="M31" s="376"/>
      <c r="N31" s="377"/>
      <c r="O31" s="376"/>
      <c r="P31" s="376"/>
      <c r="Q31" s="376"/>
      <c r="R31" s="376"/>
      <c r="S31" s="376"/>
    </row>
    <row r="32" spans="2:19" s="333" customFormat="1" ht="12" customHeight="1">
      <c r="C32" s="333" t="s">
        <v>116</v>
      </c>
      <c r="E32" s="378"/>
      <c r="F32" s="378">
        <f t="shared" ref="F32:Q32" si="11">F45-F10</f>
        <v>138</v>
      </c>
      <c r="G32" s="378">
        <f t="shared" si="11"/>
        <v>-33</v>
      </c>
      <c r="H32" s="378">
        <f t="shared" si="11"/>
        <v>-42</v>
      </c>
      <c r="I32" s="378">
        <f t="shared" si="11"/>
        <v>-31</v>
      </c>
      <c r="J32" s="496">
        <f t="shared" si="11"/>
        <v>12</v>
      </c>
      <c r="K32" s="496">
        <f t="shared" si="11"/>
        <v>-8</v>
      </c>
      <c r="L32" s="496">
        <f t="shared" si="11"/>
        <v>2</v>
      </c>
      <c r="M32" s="378">
        <f t="shared" si="11"/>
        <v>-7</v>
      </c>
      <c r="N32" s="378">
        <f t="shared" si="11"/>
        <v>204</v>
      </c>
      <c r="O32" s="378">
        <f t="shared" si="11"/>
        <v>-56</v>
      </c>
      <c r="P32" s="378">
        <f t="shared" si="11"/>
        <v>-67</v>
      </c>
      <c r="Q32" s="378">
        <f t="shared" si="11"/>
        <v>-62</v>
      </c>
      <c r="R32" s="378">
        <f t="shared" ref="R32:S32" si="12">R45-R10</f>
        <v>-18</v>
      </c>
      <c r="S32" s="378">
        <f t="shared" si="12"/>
        <v>-6</v>
      </c>
    </row>
    <row r="33" spans="2:19" s="333" customFormat="1" ht="12" customHeight="1">
      <c r="C33" s="333" t="s">
        <v>102</v>
      </c>
      <c r="E33" s="378"/>
      <c r="F33" s="378">
        <f t="shared" ref="F33:Q33" si="13">F46-F11</f>
        <v>32</v>
      </c>
      <c r="G33" s="378">
        <f t="shared" si="13"/>
        <v>-17</v>
      </c>
      <c r="H33" s="378">
        <f t="shared" si="13"/>
        <v>-13</v>
      </c>
      <c r="I33" s="378">
        <f t="shared" si="13"/>
        <v>3</v>
      </c>
      <c r="J33" s="496">
        <f t="shared" si="13"/>
        <v>76</v>
      </c>
      <c r="K33" s="496">
        <f t="shared" si="13"/>
        <v>-24</v>
      </c>
      <c r="L33" s="496">
        <f t="shared" si="13"/>
        <v>-37</v>
      </c>
      <c r="M33" s="378">
        <f t="shared" si="13"/>
        <v>141</v>
      </c>
      <c r="N33" s="378">
        <f t="shared" si="13"/>
        <v>0</v>
      </c>
      <c r="O33" s="378">
        <f t="shared" si="13"/>
        <v>-87</v>
      </c>
      <c r="P33" s="378">
        <f t="shared" si="13"/>
        <v>-35</v>
      </c>
      <c r="Q33" s="378">
        <f t="shared" si="13"/>
        <v>-5</v>
      </c>
      <c r="R33" s="378">
        <f t="shared" ref="R33:S33" si="14">R46-R11</f>
        <v>54</v>
      </c>
      <c r="S33" s="378">
        <f t="shared" si="14"/>
        <v>-23</v>
      </c>
    </row>
    <row r="34" spans="2:19" s="333" customFormat="1" ht="10.5" customHeight="1">
      <c r="D34" s="333" t="s">
        <v>103</v>
      </c>
      <c r="E34" s="378"/>
      <c r="F34" s="378">
        <f t="shared" ref="F34:Q34" si="15">F47-F12</f>
        <v>169</v>
      </c>
      <c r="G34" s="378">
        <f t="shared" si="15"/>
        <v>-71</v>
      </c>
      <c r="H34" s="378">
        <f t="shared" si="15"/>
        <v>-47</v>
      </c>
      <c r="I34" s="378">
        <f t="shared" si="15"/>
        <v>34</v>
      </c>
      <c r="J34" s="496">
        <f t="shared" si="15"/>
        <v>343</v>
      </c>
      <c r="K34" s="496">
        <f t="shared" si="15"/>
        <v>-222</v>
      </c>
      <c r="L34" s="496">
        <f t="shared" si="15"/>
        <v>-90</v>
      </c>
      <c r="M34" s="378">
        <f t="shared" si="15"/>
        <v>-5</v>
      </c>
      <c r="N34" s="378">
        <f t="shared" si="15"/>
        <v>393</v>
      </c>
      <c r="O34" s="378">
        <f t="shared" si="15"/>
        <v>-244</v>
      </c>
      <c r="P34" s="378">
        <f t="shared" si="15"/>
        <v>-156</v>
      </c>
      <c r="Q34" s="378">
        <f t="shared" si="15"/>
        <v>-18</v>
      </c>
      <c r="R34" s="378">
        <f t="shared" ref="R34:S34" si="16">R47-R12</f>
        <v>453</v>
      </c>
      <c r="S34" s="378">
        <f t="shared" si="16"/>
        <v>-263</v>
      </c>
    </row>
    <row r="35" spans="2:19" s="333" customFormat="1" ht="12" customHeight="1">
      <c r="D35" s="333" t="s">
        <v>105</v>
      </c>
      <c r="E35" s="378"/>
      <c r="F35" s="378">
        <f t="shared" ref="F35:Q35" si="17">F49-F14</f>
        <v>247</v>
      </c>
      <c r="G35" s="378">
        <f t="shared" si="17"/>
        <v>-92</v>
      </c>
      <c r="H35" s="378">
        <f t="shared" si="17"/>
        <v>-91</v>
      </c>
      <c r="I35" s="378">
        <f t="shared" si="17"/>
        <v>38</v>
      </c>
      <c r="J35" s="496">
        <f t="shared" si="17"/>
        <v>429</v>
      </c>
      <c r="K35" s="496">
        <f t="shared" si="17"/>
        <v>-280</v>
      </c>
      <c r="L35" s="496">
        <f t="shared" si="17"/>
        <v>-119</v>
      </c>
      <c r="M35" s="378">
        <f t="shared" si="17"/>
        <v>-26</v>
      </c>
      <c r="N35" s="378">
        <f t="shared" si="17"/>
        <v>441</v>
      </c>
      <c r="O35" s="378">
        <f t="shared" si="17"/>
        <v>-259</v>
      </c>
      <c r="P35" s="378">
        <f t="shared" si="17"/>
        <v>-146</v>
      </c>
      <c r="Q35" s="378">
        <f t="shared" si="17"/>
        <v>-36</v>
      </c>
      <c r="R35" s="378">
        <f t="shared" ref="R35:S35" si="18">R49-R14</f>
        <v>483</v>
      </c>
      <c r="S35" s="378">
        <f t="shared" si="18"/>
        <v>-277</v>
      </c>
    </row>
    <row r="36" spans="2:19" s="333" customFormat="1">
      <c r="D36" s="333" t="s">
        <v>106</v>
      </c>
      <c r="E36" s="378"/>
      <c r="F36" s="378">
        <f t="shared" ref="F36:Q36" si="19">F50-F15</f>
        <v>119</v>
      </c>
      <c r="G36" s="378">
        <f t="shared" si="19"/>
        <v>-43</v>
      </c>
      <c r="H36" s="378">
        <f t="shared" si="19"/>
        <v>-44</v>
      </c>
      <c r="I36" s="378">
        <f t="shared" si="19"/>
        <v>8</v>
      </c>
      <c r="J36" s="496">
        <f t="shared" si="19"/>
        <v>78</v>
      </c>
      <c r="K36" s="496">
        <f t="shared" si="19"/>
        <v>-60</v>
      </c>
      <c r="L36" s="496">
        <f t="shared" si="19"/>
        <v>-40</v>
      </c>
      <c r="M36" s="378">
        <f t="shared" si="19"/>
        <v>9</v>
      </c>
      <c r="N36" s="378">
        <f t="shared" si="19"/>
        <v>75</v>
      </c>
      <c r="O36" s="378">
        <f t="shared" si="19"/>
        <v>-46</v>
      </c>
      <c r="P36" s="378">
        <f t="shared" si="19"/>
        <v>-39</v>
      </c>
      <c r="Q36" s="378">
        <f t="shared" si="19"/>
        <v>-5</v>
      </c>
      <c r="R36" s="378">
        <f t="shared" ref="R36:S36" si="20">R50-R15</f>
        <v>24</v>
      </c>
      <c r="S36" s="378">
        <f t="shared" si="20"/>
        <v>-14</v>
      </c>
    </row>
    <row r="37" spans="2:19" s="333" customFormat="1">
      <c r="C37" s="333" t="s">
        <v>243</v>
      </c>
      <c r="E37" s="378"/>
      <c r="F37" s="379">
        <f t="shared" ref="F37" si="21">SUM(F34:F36)</f>
        <v>535</v>
      </c>
      <c r="G37" s="379">
        <f t="shared" ref="G37:N37" si="22">SUM(G34:G36)</f>
        <v>-206</v>
      </c>
      <c r="H37" s="379">
        <f t="shared" si="22"/>
        <v>-182</v>
      </c>
      <c r="I37" s="379">
        <f t="shared" si="22"/>
        <v>80</v>
      </c>
      <c r="J37" s="497">
        <f t="shared" si="22"/>
        <v>850</v>
      </c>
      <c r="K37" s="497">
        <f t="shared" si="22"/>
        <v>-562</v>
      </c>
      <c r="L37" s="497">
        <f t="shared" si="22"/>
        <v>-249</v>
      </c>
      <c r="M37" s="379">
        <f t="shared" si="22"/>
        <v>-22</v>
      </c>
      <c r="N37" s="379">
        <f t="shared" si="22"/>
        <v>909</v>
      </c>
      <c r="O37" s="379">
        <f>SUM(O34:O36)</f>
        <v>-549</v>
      </c>
      <c r="P37" s="379">
        <f>SUM(P34:P36)</f>
        <v>-341</v>
      </c>
      <c r="Q37" s="379">
        <f>SUM(Q34:Q36)</f>
        <v>-59</v>
      </c>
      <c r="R37" s="379">
        <f>SUM(R34:R36)</f>
        <v>960</v>
      </c>
      <c r="S37" s="379">
        <f>SUM(S34:S36)</f>
        <v>-554</v>
      </c>
    </row>
    <row r="38" spans="2:19" s="333" customFormat="1">
      <c r="D38" s="333" t="s">
        <v>108</v>
      </c>
      <c r="E38" s="378"/>
      <c r="F38" s="380">
        <f t="shared" ref="F38:Q38" si="23">F54-F19</f>
        <v>0</v>
      </c>
      <c r="G38" s="380">
        <f t="shared" si="23"/>
        <v>0</v>
      </c>
      <c r="H38" s="380">
        <f t="shared" si="23"/>
        <v>0</v>
      </c>
      <c r="I38" s="380">
        <f t="shared" si="23"/>
        <v>0</v>
      </c>
      <c r="J38" s="498">
        <f t="shared" si="23"/>
        <v>0</v>
      </c>
      <c r="K38" s="498">
        <f t="shared" si="23"/>
        <v>0</v>
      </c>
      <c r="L38" s="498">
        <f t="shared" si="23"/>
        <v>0</v>
      </c>
      <c r="M38" s="380">
        <f t="shared" si="23"/>
        <v>0</v>
      </c>
      <c r="N38" s="380">
        <f t="shared" si="23"/>
        <v>8</v>
      </c>
      <c r="O38" s="380">
        <f t="shared" si="23"/>
        <v>-2</v>
      </c>
      <c r="P38" s="380">
        <f t="shared" si="23"/>
        <v>-4</v>
      </c>
      <c r="Q38" s="380">
        <f t="shared" si="23"/>
        <v>-1</v>
      </c>
      <c r="R38" s="380">
        <f t="shared" ref="R38:S38" si="24">R54-R19</f>
        <v>5</v>
      </c>
      <c r="S38" s="380">
        <f t="shared" si="24"/>
        <v>-2</v>
      </c>
    </row>
    <row r="39" spans="2:19" s="333" customFormat="1">
      <c r="C39" s="333" t="s">
        <v>113</v>
      </c>
      <c r="E39" s="378"/>
      <c r="F39" s="380">
        <f t="shared" ref="F39" si="25">F32+F33+F37+F38</f>
        <v>705</v>
      </c>
      <c r="G39" s="380">
        <f t="shared" ref="G39:P39" si="26">G32+G33+G37+G38</f>
        <v>-256</v>
      </c>
      <c r="H39" s="380">
        <f t="shared" si="26"/>
        <v>-237</v>
      </c>
      <c r="I39" s="380">
        <f t="shared" si="26"/>
        <v>52</v>
      </c>
      <c r="J39" s="498">
        <f t="shared" si="26"/>
        <v>938</v>
      </c>
      <c r="K39" s="498">
        <f t="shared" si="26"/>
        <v>-594</v>
      </c>
      <c r="L39" s="498">
        <f t="shared" si="26"/>
        <v>-284</v>
      </c>
      <c r="M39" s="380">
        <f t="shared" si="26"/>
        <v>112</v>
      </c>
      <c r="N39" s="380">
        <f t="shared" si="26"/>
        <v>1121</v>
      </c>
      <c r="O39" s="380">
        <f t="shared" si="26"/>
        <v>-694</v>
      </c>
      <c r="P39" s="380">
        <f t="shared" si="26"/>
        <v>-447</v>
      </c>
      <c r="Q39" s="380">
        <f t="shared" ref="Q39:R39" si="27">Q32+Q33+Q37+Q38</f>
        <v>-127</v>
      </c>
      <c r="R39" s="380">
        <f t="shared" si="27"/>
        <v>1001</v>
      </c>
      <c r="S39" s="380">
        <f t="shared" ref="S39" si="28">S32+S33+S37+S38</f>
        <v>-585</v>
      </c>
    </row>
    <row r="40" spans="2:19" s="333" customFormat="1" ht="4.5" customHeight="1">
      <c r="E40" s="378"/>
      <c r="F40" s="381"/>
      <c r="G40" s="381"/>
      <c r="H40" s="378"/>
      <c r="I40" s="378"/>
      <c r="J40" s="499"/>
      <c r="K40" s="496"/>
      <c r="L40" s="496"/>
      <c r="M40" s="381"/>
      <c r="N40" s="378"/>
      <c r="O40" s="378"/>
      <c r="P40" s="378"/>
      <c r="Q40" s="378"/>
      <c r="R40" s="378"/>
      <c r="S40" s="378"/>
    </row>
    <row r="41" spans="2:19" s="333" customFormat="1">
      <c r="C41" s="333" t="s">
        <v>163</v>
      </c>
      <c r="E41" s="381"/>
      <c r="F41" s="412">
        <f>-F27</f>
        <v>-1</v>
      </c>
      <c r="G41" s="412">
        <f>-G27</f>
        <v>-1</v>
      </c>
      <c r="H41" s="412">
        <f>-H27</f>
        <v>0</v>
      </c>
      <c r="I41" s="412">
        <f>-I27</f>
        <v>0</v>
      </c>
      <c r="J41" s="500">
        <f t="shared" ref="J41:P41" si="29">-J27</f>
        <v>0</v>
      </c>
      <c r="K41" s="500">
        <f t="shared" si="29"/>
        <v>0</v>
      </c>
      <c r="L41" s="500">
        <f t="shared" si="29"/>
        <v>0</v>
      </c>
      <c r="M41" s="412">
        <f t="shared" si="29"/>
        <v>0</v>
      </c>
      <c r="N41" s="412">
        <f t="shared" si="29"/>
        <v>0</v>
      </c>
      <c r="O41" s="412">
        <f t="shared" si="29"/>
        <v>0</v>
      </c>
      <c r="P41" s="412">
        <f t="shared" si="29"/>
        <v>0</v>
      </c>
      <c r="Q41" s="412">
        <f t="shared" ref="Q41:R41" si="30">-Q27</f>
        <v>0</v>
      </c>
      <c r="R41" s="412">
        <f t="shared" si="30"/>
        <v>0</v>
      </c>
      <c r="S41" s="412">
        <f t="shared" ref="S41" si="31">-S27</f>
        <v>0</v>
      </c>
    </row>
    <row r="42" spans="2:19" s="333" customFormat="1">
      <c r="E42" s="378"/>
      <c r="F42" s="381"/>
      <c r="G42" s="381"/>
      <c r="H42" s="378"/>
      <c r="I42" s="378"/>
      <c r="J42" s="499"/>
      <c r="K42" s="496"/>
      <c r="L42" s="496"/>
      <c r="M42" s="381"/>
      <c r="N42" s="378"/>
      <c r="O42" s="378"/>
      <c r="P42" s="378"/>
      <c r="Q42" s="378"/>
      <c r="R42" s="378"/>
      <c r="S42" s="378"/>
    </row>
    <row r="43" spans="2:19">
      <c r="B43" s="346" t="s">
        <v>114</v>
      </c>
      <c r="C43" s="333"/>
      <c r="D43" s="333"/>
      <c r="E43" s="377"/>
      <c r="F43" s="376"/>
      <c r="G43" s="376"/>
      <c r="H43" s="377"/>
      <c r="I43" s="376"/>
      <c r="J43" s="494"/>
      <c r="K43" s="495"/>
      <c r="L43" s="494"/>
      <c r="M43" s="376"/>
      <c r="N43" s="377"/>
      <c r="O43" s="376"/>
      <c r="P43" s="376"/>
      <c r="Q43" s="376"/>
      <c r="R43" s="376"/>
      <c r="S43" s="376"/>
    </row>
    <row r="44" spans="2:19" s="333" customFormat="1" ht="12" customHeight="1">
      <c r="B44" s="333" t="s">
        <v>101</v>
      </c>
      <c r="E44" s="377"/>
      <c r="F44" s="376"/>
      <c r="G44" s="376"/>
      <c r="H44" s="377"/>
      <c r="I44" s="376"/>
      <c r="J44" s="494"/>
      <c r="K44" s="495"/>
      <c r="L44" s="494"/>
      <c r="M44" s="376"/>
      <c r="N44" s="377"/>
      <c r="O44" s="376"/>
      <c r="P44" s="376"/>
      <c r="Q44" s="376"/>
      <c r="R44" s="376"/>
      <c r="S44" s="376"/>
    </row>
    <row r="45" spans="2:19" s="333" customFormat="1" ht="12" customHeight="1">
      <c r="C45" s="333" t="s">
        <v>116</v>
      </c>
      <c r="E45" s="378"/>
      <c r="F45" s="350">
        <v>464</v>
      </c>
      <c r="G45" s="350">
        <v>286</v>
      </c>
      <c r="H45" s="341">
        <v>285</v>
      </c>
      <c r="I45" s="341">
        <v>275</v>
      </c>
      <c r="J45" s="501">
        <v>320</v>
      </c>
      <c r="K45" s="496">
        <v>302</v>
      </c>
      <c r="L45" s="496">
        <v>293</v>
      </c>
      <c r="M45" s="382">
        <v>282</v>
      </c>
      <c r="N45" s="378">
        <v>544</v>
      </c>
      <c r="O45" s="378">
        <v>339</v>
      </c>
      <c r="P45" s="378">
        <v>292</v>
      </c>
      <c r="Q45" s="378">
        <v>274</v>
      </c>
      <c r="R45" s="378">
        <v>250</v>
      </c>
      <c r="S45" s="378">
        <v>250</v>
      </c>
    </row>
    <row r="46" spans="2:19" s="333" customFormat="1" ht="12" customHeight="1">
      <c r="C46" s="333" t="s">
        <v>102</v>
      </c>
      <c r="E46" s="356"/>
      <c r="F46" s="350">
        <v>80</v>
      </c>
      <c r="G46" s="350">
        <v>24</v>
      </c>
      <c r="H46" s="341">
        <v>25</v>
      </c>
      <c r="I46" s="341">
        <v>30</v>
      </c>
      <c r="J46" s="501">
        <v>122</v>
      </c>
      <c r="K46" s="459">
        <v>25</v>
      </c>
      <c r="L46" s="459">
        <v>42</v>
      </c>
      <c r="M46" s="382">
        <v>214</v>
      </c>
      <c r="N46" s="356">
        <v>124</v>
      </c>
      <c r="O46" s="356">
        <v>37</v>
      </c>
      <c r="P46" s="356">
        <v>45</v>
      </c>
      <c r="Q46" s="356">
        <v>40</v>
      </c>
      <c r="R46" s="356">
        <v>177</v>
      </c>
      <c r="S46" s="356">
        <v>114</v>
      </c>
    </row>
    <row r="47" spans="2:19" s="333" customFormat="1" ht="10.5" customHeight="1">
      <c r="D47" s="333" t="s">
        <v>103</v>
      </c>
      <c r="E47" s="356"/>
      <c r="F47" s="350">
        <v>332</v>
      </c>
      <c r="G47" s="350">
        <v>60</v>
      </c>
      <c r="H47" s="341">
        <v>105</v>
      </c>
      <c r="I47" s="341">
        <v>107</v>
      </c>
      <c r="J47" s="501">
        <v>571</v>
      </c>
      <c r="K47" s="459">
        <v>82</v>
      </c>
      <c r="L47" s="459">
        <v>92</v>
      </c>
      <c r="M47" s="382">
        <v>104</v>
      </c>
      <c r="N47" s="356">
        <v>652</v>
      </c>
      <c r="O47" s="356">
        <v>98</v>
      </c>
      <c r="P47" s="356">
        <v>83</v>
      </c>
      <c r="Q47" s="356">
        <v>78</v>
      </c>
      <c r="R47" s="356">
        <v>712</v>
      </c>
      <c r="S47" s="356">
        <v>37</v>
      </c>
    </row>
    <row r="48" spans="2:19" s="333" customFormat="1" ht="10.5" customHeight="1">
      <c r="D48" s="333" t="s">
        <v>104</v>
      </c>
      <c r="E48" s="356"/>
      <c r="F48" s="350">
        <v>205</v>
      </c>
      <c r="G48" s="350">
        <v>40</v>
      </c>
      <c r="H48" s="341">
        <v>44</v>
      </c>
      <c r="I48" s="341">
        <v>37</v>
      </c>
      <c r="J48" s="501">
        <v>53</v>
      </c>
      <c r="K48" s="459">
        <v>15</v>
      </c>
      <c r="L48" s="459">
        <v>9</v>
      </c>
      <c r="M48" s="382">
        <v>6</v>
      </c>
      <c r="N48" s="356">
        <v>6</v>
      </c>
      <c r="O48" s="356">
        <v>4</v>
      </c>
      <c r="P48" s="356">
        <v>2</v>
      </c>
      <c r="Q48" s="356">
        <v>4</v>
      </c>
      <c r="R48" s="356">
        <v>3</v>
      </c>
      <c r="S48" s="356">
        <v>2</v>
      </c>
    </row>
    <row r="49" spans="2:19" s="333" customFormat="1">
      <c r="D49" s="333" t="s">
        <v>105</v>
      </c>
      <c r="E49" s="356"/>
      <c r="F49" s="350">
        <v>520</v>
      </c>
      <c r="G49" s="350">
        <v>106</v>
      </c>
      <c r="H49" s="341">
        <v>140</v>
      </c>
      <c r="I49" s="341">
        <v>142</v>
      </c>
      <c r="J49" s="501">
        <v>753</v>
      </c>
      <c r="K49" s="459">
        <v>104</v>
      </c>
      <c r="L49" s="459">
        <v>121</v>
      </c>
      <c r="M49" s="382">
        <v>101</v>
      </c>
      <c r="N49" s="356">
        <v>722</v>
      </c>
      <c r="O49" s="356">
        <v>137</v>
      </c>
      <c r="P49" s="356">
        <v>154</v>
      </c>
      <c r="Q49" s="356">
        <v>108</v>
      </c>
      <c r="R49" s="356">
        <v>783</v>
      </c>
      <c r="S49" s="356">
        <v>58</v>
      </c>
    </row>
    <row r="50" spans="2:19" s="333" customFormat="1">
      <c r="D50" s="333" t="s">
        <v>106</v>
      </c>
      <c r="E50" s="356"/>
      <c r="F50" s="411">
        <v>436</v>
      </c>
      <c r="G50" s="411">
        <v>91</v>
      </c>
      <c r="H50" s="343">
        <v>74</v>
      </c>
      <c r="I50" s="343">
        <v>80</v>
      </c>
      <c r="J50" s="502">
        <v>338</v>
      </c>
      <c r="K50" s="488">
        <v>76</v>
      </c>
      <c r="L50" s="488">
        <v>36</v>
      </c>
      <c r="M50" s="383">
        <v>65</v>
      </c>
      <c r="N50" s="371">
        <v>216</v>
      </c>
      <c r="O50" s="371">
        <v>36</v>
      </c>
      <c r="P50" s="371">
        <v>31</v>
      </c>
      <c r="Q50" s="371">
        <v>28</v>
      </c>
      <c r="R50" s="371">
        <v>190</v>
      </c>
      <c r="S50" s="371">
        <v>37</v>
      </c>
    </row>
    <row r="51" spans="2:19" s="333" customFormat="1">
      <c r="C51" s="333" t="s">
        <v>243</v>
      </c>
      <c r="E51" s="356"/>
      <c r="F51" s="341">
        <f t="shared" ref="F51" si="32">SUM(F47:F50)</f>
        <v>1493</v>
      </c>
      <c r="G51" s="341">
        <f t="shared" ref="G51:N51" si="33">SUM(G47:G50)</f>
        <v>297</v>
      </c>
      <c r="H51" s="341">
        <f t="shared" si="33"/>
        <v>363</v>
      </c>
      <c r="I51" s="341">
        <f t="shared" si="33"/>
        <v>366</v>
      </c>
      <c r="J51" s="459">
        <f t="shared" si="33"/>
        <v>1715</v>
      </c>
      <c r="K51" s="459">
        <f t="shared" si="33"/>
        <v>277</v>
      </c>
      <c r="L51" s="459">
        <f t="shared" si="33"/>
        <v>258</v>
      </c>
      <c r="M51" s="356">
        <f t="shared" si="33"/>
        <v>276</v>
      </c>
      <c r="N51" s="356">
        <f t="shared" si="33"/>
        <v>1596</v>
      </c>
      <c r="O51" s="356">
        <f>SUM(O47:O50)</f>
        <v>275</v>
      </c>
      <c r="P51" s="356">
        <f>SUM(P47:P50)</f>
        <v>270</v>
      </c>
      <c r="Q51" s="356">
        <f>SUM(Q47:Q50)</f>
        <v>218</v>
      </c>
      <c r="R51" s="356">
        <f>SUM(R47:R50)</f>
        <v>1688</v>
      </c>
      <c r="S51" s="356">
        <f>SUM(S47:S50)</f>
        <v>134</v>
      </c>
    </row>
    <row r="52" spans="2:19" s="333" customFormat="1">
      <c r="D52" s="333" t="s">
        <v>107</v>
      </c>
      <c r="E52" s="356"/>
      <c r="F52" s="350">
        <v>17</v>
      </c>
      <c r="G52" s="350">
        <v>6</v>
      </c>
      <c r="H52" s="341">
        <v>17</v>
      </c>
      <c r="I52" s="341">
        <v>9</v>
      </c>
      <c r="J52" s="501">
        <v>16</v>
      </c>
      <c r="K52" s="459">
        <v>5</v>
      </c>
      <c r="L52" s="459">
        <v>3</v>
      </c>
      <c r="M52" s="382">
        <v>3</v>
      </c>
      <c r="N52" s="356">
        <v>6</v>
      </c>
      <c r="O52" s="356">
        <v>5</v>
      </c>
      <c r="P52" s="356">
        <v>4</v>
      </c>
      <c r="Q52" s="356">
        <v>4</v>
      </c>
      <c r="R52" s="356">
        <v>3</v>
      </c>
      <c r="S52" s="356">
        <v>3</v>
      </c>
    </row>
    <row r="53" spans="2:19" s="333" customFormat="1">
      <c r="D53" s="333" t="s">
        <v>274</v>
      </c>
      <c r="E53" s="356">
        <v>0</v>
      </c>
      <c r="F53" s="356">
        <v>0</v>
      </c>
      <c r="G53" s="370">
        <v>0</v>
      </c>
      <c r="H53" s="356">
        <v>0</v>
      </c>
      <c r="I53" s="356">
        <v>0</v>
      </c>
      <c r="J53" s="485">
        <v>0</v>
      </c>
      <c r="K53" s="459">
        <v>0</v>
      </c>
      <c r="L53" s="459">
        <v>0</v>
      </c>
      <c r="M53" s="370">
        <v>0</v>
      </c>
      <c r="N53" s="356">
        <v>0</v>
      </c>
      <c r="O53" s="356">
        <v>4</v>
      </c>
      <c r="P53" s="356">
        <v>5</v>
      </c>
      <c r="Q53" s="356">
        <v>0</v>
      </c>
      <c r="R53" s="356">
        <v>26</v>
      </c>
      <c r="S53" s="356">
        <v>9</v>
      </c>
    </row>
    <row r="54" spans="2:19" s="333" customFormat="1">
      <c r="D54" s="333" t="s">
        <v>108</v>
      </c>
      <c r="E54" s="356"/>
      <c r="F54" s="411">
        <v>118</v>
      </c>
      <c r="G54" s="411">
        <v>26</v>
      </c>
      <c r="H54" s="343">
        <v>48</v>
      </c>
      <c r="I54" s="343">
        <v>21</v>
      </c>
      <c r="J54" s="502">
        <v>101</v>
      </c>
      <c r="K54" s="488">
        <v>34</v>
      </c>
      <c r="L54" s="488">
        <v>36</v>
      </c>
      <c r="M54" s="383">
        <v>20</v>
      </c>
      <c r="N54" s="371">
        <v>85</v>
      </c>
      <c r="O54" s="371">
        <f>20</f>
        <v>20</v>
      </c>
      <c r="P54" s="371">
        <f>20</f>
        <v>20</v>
      </c>
      <c r="Q54" s="371">
        <v>14</v>
      </c>
      <c r="R54" s="371">
        <v>61</v>
      </c>
      <c r="S54" s="371">
        <v>12</v>
      </c>
    </row>
    <row r="55" spans="2:19" s="333" customFormat="1">
      <c r="C55" s="333" t="s">
        <v>109</v>
      </c>
      <c r="E55" s="356"/>
      <c r="F55" s="349">
        <f t="shared" ref="F55:P55" si="34">SUM(F52:F54)</f>
        <v>135</v>
      </c>
      <c r="G55" s="349">
        <f t="shared" si="34"/>
        <v>32</v>
      </c>
      <c r="H55" s="349">
        <f t="shared" si="34"/>
        <v>65</v>
      </c>
      <c r="I55" s="349">
        <f t="shared" si="34"/>
        <v>30</v>
      </c>
      <c r="J55" s="503">
        <f t="shared" si="34"/>
        <v>117</v>
      </c>
      <c r="K55" s="503">
        <f t="shared" si="34"/>
        <v>39</v>
      </c>
      <c r="L55" s="503">
        <f t="shared" si="34"/>
        <v>39</v>
      </c>
      <c r="M55" s="335">
        <f t="shared" si="34"/>
        <v>23</v>
      </c>
      <c r="N55" s="335">
        <f t="shared" si="34"/>
        <v>91</v>
      </c>
      <c r="O55" s="335">
        <f t="shared" si="34"/>
        <v>29</v>
      </c>
      <c r="P55" s="335">
        <f t="shared" si="34"/>
        <v>29</v>
      </c>
      <c r="Q55" s="335">
        <f t="shared" ref="Q55:R55" si="35">SUM(Q52:Q54)</f>
        <v>18</v>
      </c>
      <c r="R55" s="335">
        <f t="shared" si="35"/>
        <v>90</v>
      </c>
      <c r="S55" s="335">
        <f t="shared" ref="S55" si="36">SUM(S52:S54)</f>
        <v>24</v>
      </c>
    </row>
    <row r="56" spans="2:19" s="333" customFormat="1">
      <c r="C56" s="333" t="s">
        <v>115</v>
      </c>
      <c r="E56" s="356"/>
      <c r="F56" s="362">
        <f t="shared" ref="F56:P56" si="37">F45+F46+F51+F55</f>
        <v>2172</v>
      </c>
      <c r="G56" s="362">
        <f t="shared" si="37"/>
        <v>639</v>
      </c>
      <c r="H56" s="362">
        <f t="shared" si="37"/>
        <v>738</v>
      </c>
      <c r="I56" s="362">
        <f t="shared" si="37"/>
        <v>701</v>
      </c>
      <c r="J56" s="489">
        <f t="shared" si="37"/>
        <v>2274</v>
      </c>
      <c r="K56" s="489">
        <f t="shared" si="37"/>
        <v>643</v>
      </c>
      <c r="L56" s="489">
        <f t="shared" si="37"/>
        <v>632</v>
      </c>
      <c r="M56" s="373">
        <f t="shared" si="37"/>
        <v>795</v>
      </c>
      <c r="N56" s="373">
        <f t="shared" si="37"/>
        <v>2355</v>
      </c>
      <c r="O56" s="373">
        <f t="shared" si="37"/>
        <v>680</v>
      </c>
      <c r="P56" s="373">
        <f t="shared" si="37"/>
        <v>636</v>
      </c>
      <c r="Q56" s="373">
        <f t="shared" ref="Q56:R56" si="38">Q45+Q46+Q51+Q55</f>
        <v>550</v>
      </c>
      <c r="R56" s="373">
        <f t="shared" si="38"/>
        <v>2205</v>
      </c>
      <c r="S56" s="373">
        <f t="shared" ref="S56" si="39">S45+S46+S51+S55</f>
        <v>522</v>
      </c>
    </row>
    <row r="57" spans="2:19" s="333" customFormat="1">
      <c r="E57" s="356"/>
      <c r="F57" s="350"/>
      <c r="G57" s="350"/>
      <c r="H57" s="341"/>
      <c r="I57" s="341"/>
      <c r="J57" s="501"/>
      <c r="K57" s="459"/>
      <c r="L57" s="459"/>
      <c r="M57" s="382"/>
      <c r="N57" s="356"/>
      <c r="O57" s="356"/>
      <c r="P57" s="356"/>
      <c r="Q57" s="356"/>
      <c r="R57" s="356"/>
      <c r="S57" s="356"/>
    </row>
    <row r="58" spans="2:19" s="333" customFormat="1">
      <c r="C58" s="333" t="s">
        <v>112</v>
      </c>
      <c r="E58" s="356"/>
      <c r="F58" s="350">
        <v>171</v>
      </c>
      <c r="G58" s="350">
        <v>85</v>
      </c>
      <c r="H58" s="343">
        <v>63</v>
      </c>
      <c r="I58" s="343">
        <v>54</v>
      </c>
      <c r="J58" s="501">
        <v>221</v>
      </c>
      <c r="K58" s="488">
        <v>71</v>
      </c>
      <c r="L58" s="488">
        <v>51</v>
      </c>
      <c r="M58" s="382">
        <v>62</v>
      </c>
      <c r="N58" s="371">
        <v>193</v>
      </c>
      <c r="O58" s="371">
        <v>75</v>
      </c>
      <c r="P58" s="371">
        <v>63</v>
      </c>
      <c r="Q58" s="371">
        <v>77</v>
      </c>
      <c r="R58" s="371">
        <v>203</v>
      </c>
      <c r="S58" s="371">
        <v>65</v>
      </c>
    </row>
    <row r="59" spans="2:19" s="333" customFormat="1" ht="14.25" thickBot="1">
      <c r="C59" s="333" t="s">
        <v>217</v>
      </c>
      <c r="E59" s="403"/>
      <c r="F59" s="347">
        <f t="shared" ref="F59" si="40">F56+F58</f>
        <v>2343</v>
      </c>
      <c r="G59" s="347">
        <f t="shared" ref="G59:N59" si="41">G56+G58</f>
        <v>724</v>
      </c>
      <c r="H59" s="347">
        <f t="shared" si="41"/>
        <v>801</v>
      </c>
      <c r="I59" s="347">
        <f t="shared" si="41"/>
        <v>755</v>
      </c>
      <c r="J59" s="504">
        <f t="shared" si="41"/>
        <v>2495</v>
      </c>
      <c r="K59" s="504">
        <f t="shared" si="41"/>
        <v>714</v>
      </c>
      <c r="L59" s="504">
        <f t="shared" si="41"/>
        <v>683</v>
      </c>
      <c r="M59" s="401">
        <f t="shared" si="41"/>
        <v>857</v>
      </c>
      <c r="N59" s="401">
        <f t="shared" si="41"/>
        <v>2548</v>
      </c>
      <c r="O59" s="401">
        <f>O56+O58</f>
        <v>755</v>
      </c>
      <c r="P59" s="401">
        <f>P56+P58</f>
        <v>699</v>
      </c>
      <c r="Q59" s="401">
        <f>Q56+Q58</f>
        <v>627</v>
      </c>
      <c r="R59" s="401">
        <f>R56+R58</f>
        <v>2408</v>
      </c>
      <c r="S59" s="401">
        <f>S56+S58</f>
        <v>587</v>
      </c>
    </row>
    <row r="60" spans="2:19" s="333" customFormat="1">
      <c r="E60" s="356"/>
      <c r="F60" s="384"/>
      <c r="G60" s="384"/>
      <c r="H60" s="332"/>
      <c r="I60" s="332"/>
      <c r="J60" s="440"/>
      <c r="K60" s="440"/>
      <c r="L60" s="440"/>
      <c r="M60" s="332"/>
      <c r="N60" s="332"/>
    </row>
    <row r="61" spans="2:19">
      <c r="B61" s="333"/>
      <c r="C61" s="333"/>
      <c r="D61" s="333"/>
      <c r="E61" s="364"/>
      <c r="F61" s="333"/>
      <c r="G61" s="333"/>
    </row>
    <row r="62" spans="2:19" ht="13.5" customHeight="1">
      <c r="B62" s="333"/>
      <c r="C62" s="591" t="s">
        <v>218</v>
      </c>
      <c r="D62" s="591"/>
      <c r="E62" s="591"/>
      <c r="F62" s="591"/>
      <c r="G62" s="591"/>
      <c r="H62" s="591"/>
      <c r="I62" s="591"/>
      <c r="J62" s="591"/>
      <c r="K62" s="591"/>
      <c r="L62" s="591"/>
      <c r="M62" s="591"/>
      <c r="N62" s="591"/>
      <c r="O62" s="591"/>
    </row>
    <row r="63" spans="2:19" ht="13.5">
      <c r="B63" s="333"/>
      <c r="C63" s="365" t="s">
        <v>219</v>
      </c>
      <c r="D63" s="333"/>
      <c r="E63" s="364"/>
      <c r="F63" s="333"/>
      <c r="G63" s="333"/>
    </row>
    <row r="64" spans="2:19">
      <c r="B64" s="333"/>
      <c r="C64" s="332" t="s">
        <v>288</v>
      </c>
    </row>
    <row r="65" spans="2:7">
      <c r="B65" s="333"/>
      <c r="C65" s="332" t="s">
        <v>289</v>
      </c>
    </row>
    <row r="66" spans="2:7">
      <c r="B66" s="333"/>
      <c r="C66" s="333" t="s">
        <v>290</v>
      </c>
      <c r="D66" s="333"/>
      <c r="E66" s="364"/>
      <c r="F66" s="333"/>
      <c r="G66" s="333"/>
    </row>
    <row r="67" spans="2:7">
      <c r="B67" s="333"/>
      <c r="C67" s="333"/>
      <c r="D67" s="333"/>
      <c r="E67" s="364"/>
      <c r="F67" s="333"/>
      <c r="G67" s="333"/>
    </row>
    <row r="68" spans="2:7" ht="13.5" hidden="1" outlineLevel="1">
      <c r="B68" s="333"/>
      <c r="C68" s="535" t="s">
        <v>262</v>
      </c>
      <c r="D68" s="333"/>
      <c r="E68" s="364"/>
      <c r="F68" s="333"/>
      <c r="G68" s="333"/>
    </row>
    <row r="69" spans="2:7" hidden="1" outlineLevel="1">
      <c r="B69" s="333"/>
      <c r="C69" s="333" t="s">
        <v>254</v>
      </c>
      <c r="D69" s="333"/>
      <c r="E69" s="364"/>
      <c r="F69" s="333"/>
      <c r="G69" s="333"/>
    </row>
    <row r="70" spans="2:7" hidden="1" outlineLevel="1">
      <c r="B70" s="333"/>
      <c r="C70" s="333"/>
      <c r="D70" s="333"/>
      <c r="E70" s="364"/>
      <c r="F70" s="333"/>
      <c r="G70" s="333"/>
    </row>
    <row r="71" spans="2:7" collapsed="1">
      <c r="B71" s="333"/>
      <c r="C71" s="333"/>
      <c r="D71" s="333"/>
      <c r="E71" s="364"/>
      <c r="F71" s="333"/>
      <c r="G71" s="333"/>
    </row>
    <row r="72" spans="2:7">
      <c r="B72" s="346"/>
      <c r="C72" s="358"/>
      <c r="D72" s="358"/>
      <c r="E72" s="364"/>
      <c r="F72" s="333"/>
      <c r="G72" s="333"/>
    </row>
    <row r="73" spans="2:7">
      <c r="B73" s="333"/>
      <c r="C73" s="333"/>
      <c r="D73" s="333"/>
      <c r="E73" s="364"/>
      <c r="F73" s="333"/>
      <c r="G73" s="333"/>
    </row>
    <row r="74" spans="2:7">
      <c r="B74" s="333"/>
      <c r="C74" s="333"/>
      <c r="D74" s="333"/>
      <c r="E74" s="364"/>
      <c r="F74" s="333"/>
      <c r="G74" s="333"/>
    </row>
    <row r="75" spans="2:7">
      <c r="B75" s="333"/>
      <c r="C75" s="333"/>
      <c r="D75" s="333"/>
      <c r="E75" s="364"/>
      <c r="F75" s="333"/>
      <c r="G75" s="333"/>
    </row>
    <row r="76" spans="2:7">
      <c r="B76" s="333"/>
      <c r="C76" s="333"/>
      <c r="D76" s="333"/>
      <c r="E76" s="364"/>
      <c r="F76" s="333"/>
      <c r="G76" s="333"/>
    </row>
    <row r="77" spans="2:7">
      <c r="B77" s="333"/>
      <c r="C77" s="333"/>
      <c r="D77" s="333"/>
      <c r="E77" s="364"/>
      <c r="F77" s="333"/>
      <c r="G77" s="333"/>
    </row>
    <row r="78" spans="2:7">
      <c r="B78" s="333"/>
      <c r="C78" s="333"/>
      <c r="D78" s="333"/>
      <c r="E78" s="364"/>
      <c r="F78" s="333"/>
      <c r="G78" s="333"/>
    </row>
    <row r="79" spans="2:7">
      <c r="B79" s="333"/>
      <c r="C79" s="333"/>
      <c r="D79" s="333"/>
      <c r="E79" s="364"/>
      <c r="F79" s="333"/>
      <c r="G79" s="333"/>
    </row>
    <row r="80" spans="2:7">
      <c r="B80" s="333"/>
      <c r="C80" s="333"/>
      <c r="D80" s="333"/>
      <c r="E80" s="364"/>
      <c r="F80" s="333"/>
      <c r="G80" s="333"/>
    </row>
    <row r="81" spans="2:7">
      <c r="B81" s="333"/>
      <c r="C81" s="333"/>
      <c r="D81" s="333"/>
      <c r="E81" s="364"/>
      <c r="F81" s="333"/>
      <c r="G81" s="333"/>
    </row>
    <row r="82" spans="2:7">
      <c r="B82" s="333"/>
      <c r="C82" s="333"/>
      <c r="D82" s="333"/>
      <c r="E82" s="364"/>
      <c r="F82" s="333"/>
      <c r="G82" s="333"/>
    </row>
    <row r="83" spans="2:7">
      <c r="B83" s="333"/>
      <c r="C83" s="333"/>
      <c r="D83" s="333"/>
      <c r="E83" s="364"/>
      <c r="F83" s="333"/>
      <c r="G83" s="333"/>
    </row>
    <row r="84" spans="2:7">
      <c r="B84" s="333"/>
      <c r="C84" s="333"/>
      <c r="D84" s="333"/>
      <c r="E84" s="364"/>
      <c r="F84" s="333"/>
      <c r="G84" s="333"/>
    </row>
    <row r="85" spans="2:7">
      <c r="B85" s="333"/>
      <c r="C85" s="333"/>
      <c r="D85" s="333"/>
      <c r="E85" s="364"/>
      <c r="F85" s="333"/>
      <c r="G85" s="333"/>
    </row>
    <row r="86" spans="2:7">
      <c r="B86" s="333"/>
      <c r="C86" s="333"/>
      <c r="D86" s="333"/>
      <c r="E86" s="364"/>
      <c r="F86" s="333"/>
      <c r="G86" s="333"/>
    </row>
    <row r="87" spans="2:7">
      <c r="B87" s="333"/>
      <c r="C87" s="333"/>
      <c r="D87" s="333"/>
      <c r="E87" s="364"/>
      <c r="F87" s="333"/>
      <c r="G87" s="333"/>
    </row>
    <row r="88" spans="2:7">
      <c r="B88" s="333"/>
      <c r="C88" s="333"/>
      <c r="D88" s="333"/>
      <c r="E88" s="364"/>
      <c r="F88" s="333"/>
      <c r="G88" s="333"/>
    </row>
    <row r="89" spans="2:7">
      <c r="B89" s="333"/>
      <c r="C89" s="333"/>
      <c r="D89" s="333"/>
      <c r="E89" s="364"/>
      <c r="F89" s="333"/>
      <c r="G89" s="333"/>
    </row>
  </sheetData>
  <mergeCells count="4">
    <mergeCell ref="C62:O62"/>
    <mergeCell ref="B1:T1"/>
    <mergeCell ref="B2:T2"/>
    <mergeCell ref="B3:T3"/>
  </mergeCells>
  <pageMargins left="0.7" right="0.7" top="0.25" bottom="0.44" header="0.3" footer="0.3"/>
  <pageSetup scale="73" orientation="landscape" r:id="rId1"/>
  <headerFooter>
    <oddFooter>&amp;LActivision Blizzard, Inc.&amp;R&amp;P of &amp; 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4"/>
  <sheetViews>
    <sheetView view="pageBreakPreview" zoomScale="78" zoomScaleNormal="100" zoomScaleSheetLayoutView="78" workbookViewId="0">
      <pane xSplit="2" ySplit="7" topLeftCell="C8" activePane="bottomRight" state="frozen"/>
      <selection activeCell="J17" sqref="J17"/>
      <selection pane="topRight" activeCell="J17" sqref="J17"/>
      <selection pane="bottomLeft" activeCell="J17" sqref="J17"/>
      <selection pane="bottomRight" activeCell="J17" sqref="J17"/>
    </sheetView>
  </sheetViews>
  <sheetFormatPr defaultRowHeight="12"/>
  <cols>
    <col min="1" max="1" width="2.85546875" style="71" customWidth="1"/>
    <col min="2" max="2" width="42" style="393" customWidth="1"/>
    <col min="3" max="6" width="9.28515625" style="393" customWidth="1"/>
    <col min="7" max="7" width="10.140625" style="393" customWidth="1"/>
    <col min="8" max="16" width="9.140625" style="71"/>
    <col min="17" max="17" width="1.42578125" style="71" customWidth="1"/>
    <col min="18" max="16384" width="9.140625" style="71"/>
  </cols>
  <sheetData>
    <row r="1" spans="1:19" ht="15" customHeight="1">
      <c r="A1" s="592" t="s">
        <v>178</v>
      </c>
      <c r="B1" s="592"/>
      <c r="C1" s="592"/>
      <c r="D1" s="592"/>
      <c r="E1" s="592"/>
      <c r="F1" s="592"/>
      <c r="G1" s="592"/>
      <c r="H1" s="592"/>
      <c r="I1" s="592"/>
      <c r="J1" s="592"/>
      <c r="K1" s="592"/>
      <c r="L1" s="592"/>
      <c r="M1" s="592"/>
      <c r="N1" s="592"/>
      <c r="O1" s="592"/>
      <c r="P1" s="592"/>
      <c r="Q1" s="592"/>
    </row>
    <row r="2" spans="1:19" ht="15" customHeight="1">
      <c r="A2" s="592" t="s">
        <v>91</v>
      </c>
      <c r="B2" s="592"/>
      <c r="C2" s="592"/>
      <c r="D2" s="592"/>
      <c r="E2" s="592"/>
      <c r="F2" s="592"/>
      <c r="G2" s="592"/>
      <c r="H2" s="592"/>
      <c r="I2" s="592"/>
      <c r="J2" s="592"/>
      <c r="K2" s="592"/>
      <c r="L2" s="592"/>
      <c r="M2" s="592"/>
      <c r="N2" s="592"/>
      <c r="O2" s="592"/>
      <c r="P2" s="592"/>
      <c r="Q2" s="592"/>
    </row>
    <row r="3" spans="1:19" ht="15" customHeight="1">
      <c r="A3" s="592" t="s">
        <v>78</v>
      </c>
      <c r="B3" s="592"/>
      <c r="C3" s="592"/>
      <c r="D3" s="592"/>
      <c r="E3" s="592"/>
      <c r="F3" s="592"/>
      <c r="G3" s="592"/>
      <c r="H3" s="592"/>
      <c r="I3" s="592"/>
      <c r="J3" s="592"/>
      <c r="K3" s="592"/>
      <c r="L3" s="592"/>
      <c r="M3" s="592"/>
      <c r="N3" s="592"/>
      <c r="O3" s="592"/>
      <c r="P3" s="592"/>
      <c r="Q3" s="592"/>
    </row>
    <row r="5" spans="1:19">
      <c r="D5" s="71"/>
      <c r="E5" s="71"/>
      <c r="F5" s="71"/>
      <c r="G5" s="71"/>
    </row>
    <row r="6" spans="1:19" ht="15.75" customHeight="1">
      <c r="B6" s="394"/>
      <c r="C6" s="337" t="s">
        <v>6</v>
      </c>
      <c r="D6" s="337" t="s">
        <v>3</v>
      </c>
      <c r="E6" s="337" t="s">
        <v>4</v>
      </c>
      <c r="F6" s="337" t="s">
        <v>5</v>
      </c>
      <c r="G6" s="337" t="s">
        <v>6</v>
      </c>
      <c r="H6" s="337" t="s">
        <v>3</v>
      </c>
      <c r="I6" s="337" t="s">
        <v>4</v>
      </c>
      <c r="J6" s="337" t="s">
        <v>5</v>
      </c>
      <c r="K6" s="337" t="s">
        <v>6</v>
      </c>
      <c r="L6" s="337" t="s">
        <v>3</v>
      </c>
      <c r="M6" s="337" t="s">
        <v>4</v>
      </c>
      <c r="N6" s="337" t="s">
        <v>5</v>
      </c>
      <c r="O6" s="337" t="s">
        <v>6</v>
      </c>
      <c r="P6" s="337" t="s">
        <v>3</v>
      </c>
    </row>
    <row r="7" spans="1:19" ht="12.75" thickBot="1">
      <c r="B7" s="394"/>
      <c r="C7" s="337" t="s">
        <v>43</v>
      </c>
      <c r="D7" s="337" t="s">
        <v>44</v>
      </c>
      <c r="E7" s="337" t="s">
        <v>44</v>
      </c>
      <c r="F7" s="337" t="s">
        <v>44</v>
      </c>
      <c r="G7" s="337" t="s">
        <v>44</v>
      </c>
      <c r="H7" s="337" t="s">
        <v>45</v>
      </c>
      <c r="I7" s="337" t="s">
        <v>45</v>
      </c>
      <c r="J7" s="337" t="s">
        <v>45</v>
      </c>
      <c r="K7" s="337" t="s">
        <v>45</v>
      </c>
      <c r="L7" s="337" t="s">
        <v>46</v>
      </c>
      <c r="M7" s="337" t="s">
        <v>46</v>
      </c>
      <c r="N7" s="337" t="s">
        <v>46</v>
      </c>
      <c r="O7" s="337" t="s">
        <v>46</v>
      </c>
      <c r="P7" s="337" t="s">
        <v>296</v>
      </c>
    </row>
    <row r="8" spans="1:19">
      <c r="B8" s="395" t="s">
        <v>227</v>
      </c>
      <c r="C8" s="396"/>
      <c r="D8" s="396"/>
      <c r="E8" s="396"/>
      <c r="F8" s="396"/>
      <c r="G8" s="396"/>
      <c r="H8" s="396"/>
      <c r="I8" s="396"/>
      <c r="J8" s="396"/>
      <c r="K8" s="396"/>
      <c r="L8" s="396"/>
      <c r="M8" s="396"/>
      <c r="N8" s="396"/>
      <c r="O8" s="396"/>
      <c r="P8" s="396"/>
    </row>
    <row r="9" spans="1:19">
      <c r="B9" s="397" t="s">
        <v>220</v>
      </c>
      <c r="C9" s="404">
        <v>1151</v>
      </c>
      <c r="D9" s="404">
        <v>596</v>
      </c>
      <c r="E9" s="404">
        <v>676</v>
      </c>
      <c r="F9" s="404">
        <v>351</v>
      </c>
      <c r="G9" s="404">
        <v>1000</v>
      </c>
      <c r="H9" s="404">
        <v>906</v>
      </c>
      <c r="I9" s="404">
        <v>584</v>
      </c>
      <c r="J9" s="404">
        <v>320</v>
      </c>
      <c r="K9" s="404">
        <v>820</v>
      </c>
      <c r="L9" s="404">
        <v>946</v>
      </c>
      <c r="M9" s="404">
        <v>660</v>
      </c>
      <c r="N9" s="404">
        <v>250</v>
      </c>
      <c r="O9" s="404">
        <v>841</v>
      </c>
      <c r="P9" s="404">
        <v>793</v>
      </c>
    </row>
    <row r="10" spans="1:19">
      <c r="B10" s="397" t="s">
        <v>221</v>
      </c>
      <c r="C10" s="524">
        <v>316</v>
      </c>
      <c r="D10" s="524">
        <v>300</v>
      </c>
      <c r="E10" s="524">
        <v>299</v>
      </c>
      <c r="F10" s="524">
        <v>298</v>
      </c>
      <c r="G10" s="524">
        <v>336</v>
      </c>
      <c r="H10" s="524">
        <v>331</v>
      </c>
      <c r="I10" s="524">
        <v>332</v>
      </c>
      <c r="J10" s="524">
        <v>363</v>
      </c>
      <c r="K10" s="524">
        <v>414</v>
      </c>
      <c r="L10" s="524">
        <v>428</v>
      </c>
      <c r="M10" s="524">
        <v>423</v>
      </c>
      <c r="N10" s="524">
        <v>427</v>
      </c>
      <c r="O10" s="524">
        <v>363</v>
      </c>
      <c r="P10" s="524">
        <v>314</v>
      </c>
      <c r="Q10" s="536"/>
    </row>
    <row r="11" spans="1:19">
      <c r="B11" s="397" t="s">
        <v>115</v>
      </c>
      <c r="C11" s="405">
        <f t="shared" ref="C11" si="0">+C10+C9</f>
        <v>1467</v>
      </c>
      <c r="D11" s="405">
        <f t="shared" ref="D11:G11" si="1">+D10+D9</f>
        <v>896</v>
      </c>
      <c r="E11" s="405">
        <f t="shared" si="1"/>
        <v>975</v>
      </c>
      <c r="F11" s="405">
        <f t="shared" si="1"/>
        <v>649</v>
      </c>
      <c r="G11" s="405">
        <f t="shared" si="1"/>
        <v>1336</v>
      </c>
      <c r="H11" s="405">
        <f t="shared" ref="H11:N11" si="2">+H10+H9</f>
        <v>1237</v>
      </c>
      <c r="I11" s="405">
        <f t="shared" si="2"/>
        <v>916</v>
      </c>
      <c r="J11" s="405">
        <f t="shared" si="2"/>
        <v>683</v>
      </c>
      <c r="K11" s="405">
        <f t="shared" si="2"/>
        <v>1234</v>
      </c>
      <c r="L11" s="405">
        <f t="shared" si="2"/>
        <v>1374</v>
      </c>
      <c r="M11" s="405">
        <f t="shared" si="2"/>
        <v>1083</v>
      </c>
      <c r="N11" s="405">
        <f t="shared" si="2"/>
        <v>677</v>
      </c>
      <c r="O11" s="405">
        <f t="shared" ref="O11:P11" si="3">+O10+O9</f>
        <v>1204</v>
      </c>
      <c r="P11" s="405">
        <f t="shared" si="3"/>
        <v>1107</v>
      </c>
      <c r="Q11" s="536"/>
    </row>
    <row r="12" spans="1:19">
      <c r="B12" s="397"/>
      <c r="C12" s="404"/>
      <c r="D12" s="404"/>
      <c r="E12" s="404"/>
      <c r="F12" s="404"/>
      <c r="G12" s="404"/>
      <c r="H12" s="571"/>
      <c r="I12" s="404"/>
      <c r="J12" s="404"/>
      <c r="K12" s="404"/>
      <c r="L12" s="571"/>
      <c r="M12" s="404"/>
      <c r="N12" s="404"/>
      <c r="O12" s="404"/>
      <c r="P12" s="404"/>
      <c r="Q12" s="571"/>
    </row>
    <row r="13" spans="1:19">
      <c r="B13" s="397" t="s">
        <v>222</v>
      </c>
      <c r="C13" s="524">
        <v>171</v>
      </c>
      <c r="D13" s="524">
        <v>85</v>
      </c>
      <c r="E13" s="524">
        <v>63</v>
      </c>
      <c r="F13" s="524">
        <v>54</v>
      </c>
      <c r="G13" s="524">
        <v>221</v>
      </c>
      <c r="H13" s="524">
        <v>71</v>
      </c>
      <c r="I13" s="524">
        <v>51</v>
      </c>
      <c r="J13" s="524">
        <v>62</v>
      </c>
      <c r="K13" s="524">
        <v>193</v>
      </c>
      <c r="L13" s="524">
        <v>75</v>
      </c>
      <c r="M13" s="524">
        <v>63</v>
      </c>
      <c r="N13" s="524">
        <v>77</v>
      </c>
      <c r="O13" s="524">
        <v>203</v>
      </c>
      <c r="P13" s="524">
        <v>65</v>
      </c>
      <c r="Q13" s="536"/>
    </row>
    <row r="14" spans="1:19" ht="12.75" thickBot="1">
      <c r="B14" s="397" t="s">
        <v>96</v>
      </c>
      <c r="C14" s="525">
        <f t="shared" ref="C14" si="4">+C13+C11</f>
        <v>1638</v>
      </c>
      <c r="D14" s="525">
        <f t="shared" ref="D14:G14" si="5">+D13+D11</f>
        <v>981</v>
      </c>
      <c r="E14" s="525">
        <f t="shared" si="5"/>
        <v>1038</v>
      </c>
      <c r="F14" s="525">
        <f t="shared" si="5"/>
        <v>703</v>
      </c>
      <c r="G14" s="525">
        <f t="shared" si="5"/>
        <v>1557</v>
      </c>
      <c r="H14" s="525">
        <f t="shared" ref="H14:N14" si="6">+H13+H11</f>
        <v>1308</v>
      </c>
      <c r="I14" s="525">
        <f t="shared" si="6"/>
        <v>967</v>
      </c>
      <c r="J14" s="525">
        <f t="shared" si="6"/>
        <v>745</v>
      </c>
      <c r="K14" s="525">
        <f t="shared" si="6"/>
        <v>1427</v>
      </c>
      <c r="L14" s="525">
        <f t="shared" si="6"/>
        <v>1449</v>
      </c>
      <c r="M14" s="525">
        <f t="shared" si="6"/>
        <v>1146</v>
      </c>
      <c r="N14" s="525">
        <f t="shared" si="6"/>
        <v>754</v>
      </c>
      <c r="O14" s="525">
        <f t="shared" ref="O14:P14" si="7">+O13+O11</f>
        <v>1407</v>
      </c>
      <c r="P14" s="525">
        <f t="shared" si="7"/>
        <v>1172</v>
      </c>
      <c r="Q14" s="536"/>
    </row>
    <row r="15" spans="1:19" ht="14.25">
      <c r="B15" s="397"/>
      <c r="C15" s="405"/>
      <c r="D15" s="405"/>
      <c r="E15" s="405"/>
      <c r="F15" s="542"/>
      <c r="G15" s="405"/>
      <c r="H15" s="571"/>
      <c r="I15" s="571"/>
      <c r="J15" s="542"/>
      <c r="K15" s="405"/>
      <c r="L15" s="571"/>
      <c r="M15" s="405"/>
      <c r="N15" s="542"/>
      <c r="O15" s="542"/>
      <c r="P15" s="542"/>
      <c r="Q15" s="571"/>
    </row>
    <row r="16" spans="1:19">
      <c r="B16" s="395" t="s">
        <v>229</v>
      </c>
      <c r="C16" s="404"/>
      <c r="D16" s="404"/>
      <c r="E16" s="404"/>
      <c r="F16" s="404"/>
      <c r="G16" s="544"/>
      <c r="H16" s="404"/>
      <c r="I16" s="404"/>
      <c r="J16" s="404"/>
      <c r="K16" s="544"/>
      <c r="L16" s="404"/>
      <c r="M16" s="404"/>
      <c r="N16" s="404"/>
      <c r="O16" s="404"/>
      <c r="P16" s="404"/>
      <c r="Q16" s="536"/>
      <c r="S16" s="536"/>
    </row>
    <row r="17" spans="2:21">
      <c r="B17" s="397" t="s">
        <v>220</v>
      </c>
      <c r="C17" s="404">
        <f t="shared" ref="C17" si="8">C22-C9</f>
        <v>700</v>
      </c>
      <c r="D17" s="404">
        <f t="shared" ref="D17:G17" si="9">D22-D9</f>
        <v>-271</v>
      </c>
      <c r="E17" s="404">
        <f t="shared" si="9"/>
        <v>-244</v>
      </c>
      <c r="F17" s="404">
        <f t="shared" si="9"/>
        <v>37</v>
      </c>
      <c r="G17" s="404">
        <f t="shared" si="9"/>
        <v>933</v>
      </c>
      <c r="H17" s="404">
        <f t="shared" ref="H17:J18" si="10">H22-H9</f>
        <v>-600</v>
      </c>
      <c r="I17" s="404">
        <f t="shared" si="10"/>
        <v>-327</v>
      </c>
      <c r="J17" s="404">
        <f t="shared" si="10"/>
        <v>112</v>
      </c>
      <c r="K17" s="404">
        <f t="shared" ref="K17" si="11">K22-K9</f>
        <v>1065</v>
      </c>
      <c r="L17" s="404">
        <f t="shared" ref="L17:N17" si="12">L22-L9</f>
        <v>-706</v>
      </c>
      <c r="M17" s="404">
        <f t="shared" si="12"/>
        <v>-448</v>
      </c>
      <c r="N17" s="404">
        <f t="shared" si="12"/>
        <v>-86</v>
      </c>
      <c r="O17" s="404">
        <f t="shared" ref="O17:P17" si="13">O22-O9</f>
        <v>1055</v>
      </c>
      <c r="P17" s="404">
        <f t="shared" si="13"/>
        <v>-569</v>
      </c>
      <c r="Q17" s="536"/>
      <c r="S17" s="536"/>
      <c r="U17" s="536"/>
    </row>
    <row r="18" spans="2:21">
      <c r="B18" s="397" t="s">
        <v>221</v>
      </c>
      <c r="C18" s="405">
        <f t="shared" ref="C18" si="14">C23-C10</f>
        <v>5</v>
      </c>
      <c r="D18" s="405">
        <f t="shared" ref="D18:G18" si="15">D23-D10</f>
        <v>14</v>
      </c>
      <c r="E18" s="405">
        <f t="shared" si="15"/>
        <v>7</v>
      </c>
      <c r="F18" s="405">
        <f t="shared" si="15"/>
        <v>15</v>
      </c>
      <c r="G18" s="405">
        <f t="shared" si="15"/>
        <v>5</v>
      </c>
      <c r="H18" s="405">
        <f t="shared" si="10"/>
        <v>6</v>
      </c>
      <c r="I18" s="405">
        <f t="shared" si="10"/>
        <v>43</v>
      </c>
      <c r="J18" s="405">
        <f t="shared" si="10"/>
        <v>0</v>
      </c>
      <c r="K18" s="405">
        <f t="shared" ref="K18" si="16">K23-K10</f>
        <v>56</v>
      </c>
      <c r="L18" s="405">
        <f t="shared" ref="L18:N18" si="17">L23-L10</f>
        <v>12</v>
      </c>
      <c r="M18" s="405">
        <f t="shared" si="17"/>
        <v>1</v>
      </c>
      <c r="N18" s="405">
        <f t="shared" si="17"/>
        <v>-41</v>
      </c>
      <c r="O18" s="405">
        <f t="shared" ref="O18:P18" si="18">O23-O10</f>
        <v>-54</v>
      </c>
      <c r="P18" s="405">
        <f t="shared" si="18"/>
        <v>-16</v>
      </c>
      <c r="Q18" s="536"/>
      <c r="S18" s="536"/>
      <c r="U18" s="536"/>
    </row>
    <row r="19" spans="2:21">
      <c r="B19" s="397" t="s">
        <v>223</v>
      </c>
      <c r="C19" s="406">
        <f t="shared" ref="C19" si="19">SUM(C17:C18)</f>
        <v>705</v>
      </c>
      <c r="D19" s="406">
        <f t="shared" ref="D19:G19" si="20">SUM(D17:D18)</f>
        <v>-257</v>
      </c>
      <c r="E19" s="406">
        <f t="shared" si="20"/>
        <v>-237</v>
      </c>
      <c r="F19" s="406">
        <f t="shared" si="20"/>
        <v>52</v>
      </c>
      <c r="G19" s="406">
        <f t="shared" si="20"/>
        <v>938</v>
      </c>
      <c r="H19" s="406">
        <f t="shared" ref="H19:N19" si="21">SUM(H17:H18)</f>
        <v>-594</v>
      </c>
      <c r="I19" s="406">
        <f t="shared" si="21"/>
        <v>-284</v>
      </c>
      <c r="J19" s="406">
        <f t="shared" si="21"/>
        <v>112</v>
      </c>
      <c r="K19" s="406">
        <f t="shared" si="21"/>
        <v>1121</v>
      </c>
      <c r="L19" s="406">
        <f t="shared" si="21"/>
        <v>-694</v>
      </c>
      <c r="M19" s="406">
        <f t="shared" si="21"/>
        <v>-447</v>
      </c>
      <c r="N19" s="406">
        <f t="shared" si="21"/>
        <v>-127</v>
      </c>
      <c r="O19" s="406">
        <f t="shared" ref="O19:P19" si="22">SUM(O17:O18)</f>
        <v>1001</v>
      </c>
      <c r="P19" s="406">
        <f t="shared" si="22"/>
        <v>-585</v>
      </c>
      <c r="Q19" s="536"/>
      <c r="U19" s="536"/>
    </row>
    <row r="20" spans="2:21">
      <c r="B20" s="397"/>
      <c r="C20" s="405"/>
      <c r="D20" s="405"/>
      <c r="E20" s="405"/>
      <c r="F20" s="405"/>
      <c r="G20" s="405"/>
      <c r="H20" s="405"/>
      <c r="I20" s="405"/>
      <c r="J20" s="405"/>
      <c r="K20" s="405"/>
      <c r="L20" s="405"/>
      <c r="M20" s="405"/>
      <c r="N20" s="405"/>
      <c r="O20" s="405"/>
      <c r="P20" s="405"/>
      <c r="Q20" s="536"/>
    </row>
    <row r="21" spans="2:21">
      <c r="B21" s="395" t="s">
        <v>228</v>
      </c>
      <c r="C21" s="404"/>
      <c r="D21" s="404"/>
      <c r="E21" s="404"/>
      <c r="F21" s="404"/>
      <c r="G21" s="404"/>
      <c r="H21" s="404"/>
      <c r="I21" s="404"/>
      <c r="J21" s="404"/>
      <c r="K21" s="404"/>
      <c r="L21" s="404"/>
      <c r="M21" s="404"/>
      <c r="N21" s="404"/>
      <c r="O21" s="404"/>
      <c r="P21" s="404"/>
      <c r="Q21" s="536"/>
    </row>
    <row r="22" spans="2:21">
      <c r="B22" s="397" t="s">
        <v>220</v>
      </c>
      <c r="C22" s="404">
        <v>1851</v>
      </c>
      <c r="D22" s="404">
        <v>325</v>
      </c>
      <c r="E22" s="404">
        <v>432</v>
      </c>
      <c r="F22" s="404">
        <v>388</v>
      </c>
      <c r="G22" s="404">
        <v>1933</v>
      </c>
      <c r="H22" s="404">
        <f>304+2</f>
        <v>306</v>
      </c>
      <c r="I22" s="404">
        <f>258-1</f>
        <v>257</v>
      </c>
      <c r="J22" s="404">
        <v>432</v>
      </c>
      <c r="K22" s="404">
        <f>1879+6</f>
        <v>1885</v>
      </c>
      <c r="L22" s="404">
        <v>240</v>
      </c>
      <c r="M22" s="404">
        <v>212</v>
      </c>
      <c r="N22" s="404">
        <v>164</v>
      </c>
      <c r="O22" s="404">
        <v>1896</v>
      </c>
      <c r="P22" s="404">
        <v>224</v>
      </c>
      <c r="Q22" s="536"/>
    </row>
    <row r="23" spans="2:21">
      <c r="B23" s="397" t="s">
        <v>221</v>
      </c>
      <c r="C23" s="524">
        <v>321</v>
      </c>
      <c r="D23" s="524">
        <v>314</v>
      </c>
      <c r="E23" s="524">
        <v>306</v>
      </c>
      <c r="F23" s="524">
        <v>313</v>
      </c>
      <c r="G23" s="524">
        <v>341</v>
      </c>
      <c r="H23" s="524">
        <f>339-2</f>
        <v>337</v>
      </c>
      <c r="I23" s="524">
        <f>374+1</f>
        <v>375</v>
      </c>
      <c r="J23" s="524">
        <v>363</v>
      </c>
      <c r="K23" s="524">
        <f>476-6</f>
        <v>470</v>
      </c>
      <c r="L23" s="524">
        <v>440</v>
      </c>
      <c r="M23" s="524">
        <v>424</v>
      </c>
      <c r="N23" s="524">
        <v>386</v>
      </c>
      <c r="O23" s="524">
        <v>309</v>
      </c>
      <c r="P23" s="524">
        <v>298</v>
      </c>
      <c r="Q23" s="536"/>
    </row>
    <row r="24" spans="2:21">
      <c r="B24" s="397" t="s">
        <v>115</v>
      </c>
      <c r="C24" s="405">
        <f t="shared" ref="C24" si="23">+C23+C22</f>
        <v>2172</v>
      </c>
      <c r="D24" s="405">
        <f t="shared" ref="D24:G24" si="24">+D23+D22</f>
        <v>639</v>
      </c>
      <c r="E24" s="405">
        <f t="shared" si="24"/>
        <v>738</v>
      </c>
      <c r="F24" s="405">
        <f t="shared" si="24"/>
        <v>701</v>
      </c>
      <c r="G24" s="405">
        <f t="shared" si="24"/>
        <v>2274</v>
      </c>
      <c r="H24" s="405">
        <f t="shared" ref="H24:N24" si="25">+H23+H22</f>
        <v>643</v>
      </c>
      <c r="I24" s="405">
        <f t="shared" si="25"/>
        <v>632</v>
      </c>
      <c r="J24" s="405">
        <f t="shared" si="25"/>
        <v>795</v>
      </c>
      <c r="K24" s="405">
        <f t="shared" si="25"/>
        <v>2355</v>
      </c>
      <c r="L24" s="405">
        <f t="shared" si="25"/>
        <v>680</v>
      </c>
      <c r="M24" s="405">
        <f t="shared" si="25"/>
        <v>636</v>
      </c>
      <c r="N24" s="405">
        <f t="shared" si="25"/>
        <v>550</v>
      </c>
      <c r="O24" s="405">
        <f t="shared" ref="O24:P24" si="26">+O23+O22</f>
        <v>2205</v>
      </c>
      <c r="P24" s="405">
        <f t="shared" si="26"/>
        <v>522</v>
      </c>
      <c r="Q24" s="536"/>
    </row>
    <row r="25" spans="2:21">
      <c r="B25" s="397"/>
      <c r="C25" s="404"/>
      <c r="D25" s="404"/>
      <c r="E25" s="404"/>
      <c r="F25" s="404"/>
      <c r="G25" s="404"/>
      <c r="H25" s="571"/>
      <c r="I25" s="404"/>
      <c r="J25" s="404"/>
      <c r="K25" s="404"/>
      <c r="L25" s="571"/>
      <c r="M25" s="404"/>
      <c r="N25" s="404"/>
      <c r="O25" s="404"/>
      <c r="P25" s="404"/>
      <c r="Q25" s="571"/>
    </row>
    <row r="26" spans="2:21">
      <c r="B26" s="397" t="s">
        <v>222</v>
      </c>
      <c r="C26" s="405">
        <v>171</v>
      </c>
      <c r="D26" s="405">
        <v>85</v>
      </c>
      <c r="E26" s="405">
        <v>63</v>
      </c>
      <c r="F26" s="405">
        <v>54</v>
      </c>
      <c r="G26" s="405">
        <v>221</v>
      </c>
      <c r="H26" s="405">
        <v>71</v>
      </c>
      <c r="I26" s="405">
        <v>51</v>
      </c>
      <c r="J26" s="405">
        <v>62</v>
      </c>
      <c r="K26" s="405">
        <v>193</v>
      </c>
      <c r="L26" s="405">
        <v>75</v>
      </c>
      <c r="M26" s="405">
        <v>63</v>
      </c>
      <c r="N26" s="405">
        <v>77</v>
      </c>
      <c r="O26" s="405">
        <v>203</v>
      </c>
      <c r="P26" s="405">
        <v>65</v>
      </c>
    </row>
    <row r="27" spans="2:21" ht="12.75" thickBot="1">
      <c r="B27" s="397" t="s">
        <v>224</v>
      </c>
      <c r="C27" s="525">
        <f t="shared" ref="C27" si="27">+C26+C24</f>
        <v>2343</v>
      </c>
      <c r="D27" s="525">
        <f t="shared" ref="D27:G27" si="28">+D26+D24</f>
        <v>724</v>
      </c>
      <c r="E27" s="525">
        <f t="shared" si="28"/>
        <v>801</v>
      </c>
      <c r="F27" s="525">
        <f t="shared" si="28"/>
        <v>755</v>
      </c>
      <c r="G27" s="525">
        <f t="shared" si="28"/>
        <v>2495</v>
      </c>
      <c r="H27" s="525">
        <f t="shared" ref="H27:N27" si="29">+H26+H24</f>
        <v>714</v>
      </c>
      <c r="I27" s="525">
        <f t="shared" si="29"/>
        <v>683</v>
      </c>
      <c r="J27" s="525">
        <f t="shared" si="29"/>
        <v>857</v>
      </c>
      <c r="K27" s="525">
        <f t="shared" si="29"/>
        <v>2548</v>
      </c>
      <c r="L27" s="525">
        <f t="shared" si="29"/>
        <v>755</v>
      </c>
      <c r="M27" s="525">
        <f t="shared" si="29"/>
        <v>699</v>
      </c>
      <c r="N27" s="525">
        <f t="shared" si="29"/>
        <v>627</v>
      </c>
      <c r="O27" s="525">
        <f t="shared" ref="O27:P27" si="30">+O26+O24</f>
        <v>2408</v>
      </c>
      <c r="P27" s="525">
        <f t="shared" si="30"/>
        <v>587</v>
      </c>
    </row>
    <row r="28" spans="2:21" ht="14.25">
      <c r="F28" s="543"/>
      <c r="G28" s="541"/>
      <c r="H28" s="571"/>
      <c r="I28" s="541"/>
      <c r="J28" s="543"/>
      <c r="K28" s="541"/>
      <c r="L28" s="571"/>
      <c r="M28" s="541"/>
      <c r="N28" s="543"/>
      <c r="O28" s="543"/>
      <c r="P28" s="543"/>
      <c r="Q28" s="571"/>
    </row>
    <row r="29" spans="2:21">
      <c r="H29" s="398"/>
      <c r="L29" s="537"/>
      <c r="N29" s="537"/>
      <c r="O29" s="537"/>
      <c r="P29" s="537"/>
    </row>
    <row r="30" spans="2:21">
      <c r="B30" s="393" t="s">
        <v>225</v>
      </c>
      <c r="F30" s="546"/>
      <c r="G30" s="547"/>
      <c r="J30" s="546"/>
      <c r="K30" s="547"/>
      <c r="N30" s="546"/>
      <c r="O30" s="546"/>
      <c r="P30" s="546"/>
    </row>
    <row r="31" spans="2:21">
      <c r="B31" s="393" t="s">
        <v>226</v>
      </c>
      <c r="T31" s="536"/>
    </row>
    <row r="32" spans="2:21">
      <c r="B32" s="393" t="s">
        <v>286</v>
      </c>
      <c r="T32" s="536"/>
    </row>
    <row r="33" spans="2:20">
      <c r="B33" s="393" t="s">
        <v>287</v>
      </c>
      <c r="T33" s="536"/>
    </row>
    <row r="34" spans="2:20">
      <c r="T34" s="536"/>
    </row>
  </sheetData>
  <mergeCells count="3">
    <mergeCell ref="A1:Q1"/>
    <mergeCell ref="A2:Q2"/>
    <mergeCell ref="A3:Q3"/>
  </mergeCells>
  <pageMargins left="0.7" right="0.7" top="0.25" bottom="0.44" header="0.3" footer="0.3"/>
  <pageSetup scale="69" orientation="landscape" r:id="rId1"/>
  <headerFooter>
    <oddFooter>&amp;LActivision Blizzard, Inc.&amp;R&amp;P of &amp; 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0"/>
  <sheetViews>
    <sheetView showGridLines="0" view="pageBreakPreview" zoomScale="60" zoomScaleNormal="100" workbookViewId="0">
      <pane xSplit="2" ySplit="7" topLeftCell="E8" activePane="bottomRight" state="frozen"/>
      <selection activeCell="J17" sqref="J17"/>
      <selection pane="topRight" activeCell="J17" sqref="J17"/>
      <selection pane="bottomLeft" activeCell="J17" sqref="J17"/>
      <selection pane="bottomRight" activeCell="J17" sqref="J17"/>
    </sheetView>
  </sheetViews>
  <sheetFormatPr defaultRowHeight="12" outlineLevelCol="1"/>
  <cols>
    <col min="1" max="1" width="6.5703125" style="505" customWidth="1"/>
    <col min="2" max="2" width="45.5703125" style="505" customWidth="1"/>
    <col min="3" max="4" width="10.28515625" style="520" hidden="1" customWidth="1" outlineLevel="1"/>
    <col min="5" max="5" width="10.28515625" style="520" customWidth="1" collapsed="1"/>
    <col min="6" max="13" width="10.28515625" style="520" customWidth="1"/>
    <col min="14" max="17" width="10.7109375" style="521" customWidth="1"/>
    <col min="18" max="16384" width="9.140625" style="505"/>
  </cols>
  <sheetData>
    <row r="1" spans="1:38" collapsed="1">
      <c r="A1" s="593" t="s">
        <v>42</v>
      </c>
      <c r="B1" s="593"/>
      <c r="C1" s="593"/>
      <c r="D1" s="593"/>
      <c r="E1" s="593"/>
      <c r="F1" s="593"/>
      <c r="G1" s="593"/>
      <c r="H1" s="593"/>
      <c r="I1" s="593"/>
      <c r="J1" s="593"/>
      <c r="K1" s="593"/>
      <c r="L1" s="593"/>
      <c r="M1" s="593"/>
      <c r="N1" s="593"/>
      <c r="O1" s="593"/>
      <c r="P1" s="593"/>
      <c r="Q1" s="593"/>
      <c r="R1" s="432"/>
      <c r="S1" s="432"/>
      <c r="T1" s="432"/>
      <c r="U1" s="432"/>
      <c r="V1" s="432"/>
      <c r="W1" s="432"/>
      <c r="X1" s="432"/>
      <c r="Y1" s="432"/>
      <c r="Z1" s="432"/>
      <c r="AA1" s="432"/>
      <c r="AB1" s="432"/>
      <c r="AC1" s="432"/>
      <c r="AD1" s="432"/>
      <c r="AE1" s="432"/>
      <c r="AF1" s="432"/>
      <c r="AG1" s="432"/>
      <c r="AH1" s="432"/>
      <c r="AI1" s="432"/>
      <c r="AJ1" s="432"/>
      <c r="AK1" s="432"/>
      <c r="AL1" s="432"/>
    </row>
    <row r="2" spans="1:38">
      <c r="A2" s="593" t="s">
        <v>31</v>
      </c>
      <c r="B2" s="593"/>
      <c r="C2" s="593"/>
      <c r="D2" s="593"/>
      <c r="E2" s="593"/>
      <c r="F2" s="593"/>
      <c r="G2" s="593"/>
      <c r="H2" s="593"/>
      <c r="I2" s="593"/>
      <c r="J2" s="593"/>
      <c r="K2" s="593"/>
      <c r="L2" s="593"/>
      <c r="M2" s="593"/>
      <c r="N2" s="593"/>
      <c r="O2" s="593"/>
      <c r="P2" s="593"/>
      <c r="Q2" s="593"/>
      <c r="R2" s="432"/>
      <c r="S2" s="432"/>
      <c r="T2" s="432"/>
      <c r="U2" s="432"/>
      <c r="V2" s="432"/>
      <c r="W2" s="432"/>
      <c r="X2" s="432"/>
      <c r="Y2" s="432"/>
      <c r="Z2" s="432"/>
      <c r="AA2" s="432"/>
      <c r="AB2" s="432"/>
      <c r="AC2" s="432"/>
      <c r="AD2" s="432"/>
      <c r="AE2" s="432"/>
      <c r="AF2" s="432"/>
      <c r="AG2" s="432"/>
      <c r="AH2" s="432"/>
      <c r="AI2" s="432"/>
      <c r="AJ2" s="432"/>
      <c r="AK2" s="432"/>
      <c r="AL2" s="432"/>
    </row>
    <row r="3" spans="1:38">
      <c r="A3" s="593" t="s">
        <v>30</v>
      </c>
      <c r="B3" s="593"/>
      <c r="C3" s="593"/>
      <c r="D3" s="593"/>
      <c r="E3" s="593"/>
      <c r="F3" s="593"/>
      <c r="G3" s="593"/>
      <c r="H3" s="593"/>
      <c r="I3" s="593"/>
      <c r="J3" s="593"/>
      <c r="K3" s="593"/>
      <c r="L3" s="593"/>
      <c r="M3" s="593"/>
      <c r="N3" s="593"/>
      <c r="O3" s="593"/>
      <c r="P3" s="593"/>
      <c r="Q3" s="593"/>
      <c r="R3" s="432"/>
      <c r="S3" s="432"/>
      <c r="T3" s="432"/>
      <c r="U3" s="432"/>
      <c r="V3" s="432"/>
      <c r="W3" s="432"/>
      <c r="X3" s="432"/>
      <c r="Y3" s="432"/>
      <c r="Z3" s="432"/>
      <c r="AA3" s="432"/>
      <c r="AB3" s="432"/>
      <c r="AC3" s="432"/>
      <c r="AD3" s="432"/>
      <c r="AE3" s="432"/>
      <c r="AF3" s="432"/>
      <c r="AG3" s="432"/>
      <c r="AH3" s="432"/>
      <c r="AI3" s="432"/>
      <c r="AJ3" s="432"/>
      <c r="AK3" s="432"/>
      <c r="AL3" s="432"/>
    </row>
    <row r="4" spans="1:38">
      <c r="A4" s="506"/>
      <c r="B4" s="507"/>
      <c r="C4" s="508"/>
      <c r="D4" s="508"/>
      <c r="E4" s="508"/>
      <c r="F4" s="508"/>
      <c r="G4" s="508"/>
      <c r="H4" s="508"/>
      <c r="I4" s="508"/>
      <c r="J4" s="508"/>
      <c r="K4" s="508"/>
      <c r="L4" s="508"/>
      <c r="M4" s="508"/>
      <c r="N4" s="509"/>
      <c r="O4" s="509"/>
      <c r="P4" s="509"/>
      <c r="Q4" s="509"/>
    </row>
    <row r="5" spans="1:38">
      <c r="B5" s="510"/>
      <c r="C5" s="415" t="s">
        <v>5</v>
      </c>
      <c r="D5" s="415" t="s">
        <v>6</v>
      </c>
      <c r="E5" s="415" t="s">
        <v>3</v>
      </c>
      <c r="F5" s="415" t="s">
        <v>4</v>
      </c>
      <c r="G5" s="415" t="s">
        <v>5</v>
      </c>
      <c r="H5" s="415" t="s">
        <v>6</v>
      </c>
      <c r="I5" s="415" t="s">
        <v>3</v>
      </c>
      <c r="J5" s="415" t="s">
        <v>4</v>
      </c>
      <c r="K5" s="415" t="s">
        <v>5</v>
      </c>
      <c r="L5" s="415" t="s">
        <v>6</v>
      </c>
      <c r="M5" s="415" t="s">
        <v>3</v>
      </c>
      <c r="N5" s="415" t="s">
        <v>4</v>
      </c>
      <c r="O5" s="415" t="s">
        <v>5</v>
      </c>
      <c r="P5" s="415" t="s">
        <v>6</v>
      </c>
      <c r="Q5" s="415" t="s">
        <v>3</v>
      </c>
    </row>
    <row r="6" spans="1:38">
      <c r="A6" s="510" t="s">
        <v>7</v>
      </c>
      <c r="B6" s="510"/>
      <c r="C6" s="416" t="s">
        <v>43</v>
      </c>
      <c r="D6" s="416" t="s">
        <v>43</v>
      </c>
      <c r="E6" s="416" t="s">
        <v>44</v>
      </c>
      <c r="F6" s="416" t="s">
        <v>44</v>
      </c>
      <c r="G6" s="416" t="s">
        <v>44</v>
      </c>
      <c r="H6" s="416" t="s">
        <v>44</v>
      </c>
      <c r="I6" s="416" t="s">
        <v>45</v>
      </c>
      <c r="J6" s="416" t="s">
        <v>45</v>
      </c>
      <c r="K6" s="416" t="s">
        <v>45</v>
      </c>
      <c r="L6" s="416" t="s">
        <v>45</v>
      </c>
      <c r="M6" s="416" t="s">
        <v>46</v>
      </c>
      <c r="N6" s="416" t="s">
        <v>46</v>
      </c>
      <c r="O6" s="416" t="s">
        <v>46</v>
      </c>
      <c r="P6" s="416" t="s">
        <v>46</v>
      </c>
      <c r="Q6" s="416" t="s">
        <v>296</v>
      </c>
    </row>
    <row r="7" spans="1:38" ht="5.25" customHeight="1">
      <c r="B7" s="511"/>
      <c r="C7" s="512"/>
      <c r="D7" s="512"/>
      <c r="E7" s="512"/>
      <c r="F7" s="512"/>
      <c r="G7" s="512"/>
      <c r="H7" s="512"/>
      <c r="I7" s="512"/>
      <c r="J7" s="512"/>
      <c r="K7" s="512"/>
      <c r="L7" s="512"/>
      <c r="M7" s="512"/>
      <c r="N7" s="512"/>
      <c r="O7" s="512"/>
      <c r="P7" s="512"/>
      <c r="Q7" s="512"/>
    </row>
    <row r="8" spans="1:38">
      <c r="B8" s="505" t="s">
        <v>14</v>
      </c>
      <c r="C8" s="512"/>
      <c r="D8" s="512"/>
      <c r="E8" s="512"/>
      <c r="F8" s="512"/>
      <c r="G8" s="512"/>
      <c r="H8" s="512"/>
      <c r="I8" s="512"/>
      <c r="J8" s="512"/>
      <c r="K8" s="512"/>
      <c r="L8" s="512"/>
      <c r="M8" s="512"/>
      <c r="N8" s="512"/>
      <c r="O8" s="512"/>
      <c r="P8" s="512"/>
      <c r="Q8" s="512"/>
    </row>
    <row r="9" spans="1:38">
      <c r="B9" s="505" t="s">
        <v>60</v>
      </c>
      <c r="C9" s="513">
        <v>2842</v>
      </c>
      <c r="D9" s="513">
        <v>2958</v>
      </c>
      <c r="E9" s="513">
        <v>2988</v>
      </c>
      <c r="F9" s="513">
        <v>2728</v>
      </c>
      <c r="G9" s="513">
        <v>2360</v>
      </c>
      <c r="H9" s="513">
        <v>2768</v>
      </c>
      <c r="I9" s="513">
        <v>2695</v>
      </c>
      <c r="J9" s="513">
        <v>2214</v>
      </c>
      <c r="K9" s="513">
        <v>2123</v>
      </c>
      <c r="L9" s="513">
        <v>2812</v>
      </c>
      <c r="M9" s="513">
        <v>2658</v>
      </c>
      <c r="N9" s="513">
        <v>2334</v>
      </c>
      <c r="O9" s="513">
        <f>2468+1</f>
        <v>2469</v>
      </c>
      <c r="P9" s="513">
        <v>3165</v>
      </c>
      <c r="Q9" s="513">
        <v>3049</v>
      </c>
    </row>
    <row r="10" spans="1:38">
      <c r="B10" s="505" t="s">
        <v>61</v>
      </c>
      <c r="C10" s="439">
        <v>94</v>
      </c>
      <c r="D10" s="439">
        <v>44</v>
      </c>
      <c r="E10" s="439">
        <v>42</v>
      </c>
      <c r="F10" s="439">
        <v>102</v>
      </c>
      <c r="G10" s="439">
        <v>361</v>
      </c>
      <c r="H10" s="439">
        <v>477</v>
      </c>
      <c r="I10" s="439">
        <v>647</v>
      </c>
      <c r="J10" s="439">
        <v>632</v>
      </c>
      <c r="K10" s="439">
        <v>726</v>
      </c>
      <c r="L10" s="439">
        <v>696</v>
      </c>
      <c r="M10" s="439">
        <v>701</v>
      </c>
      <c r="N10" s="439">
        <v>610</v>
      </c>
      <c r="O10" s="439">
        <f>433-1</f>
        <v>432</v>
      </c>
      <c r="P10" s="439">
        <v>360</v>
      </c>
      <c r="Q10" s="439">
        <v>427</v>
      </c>
    </row>
    <row r="11" spans="1:38">
      <c r="B11" s="505" t="s">
        <v>62</v>
      </c>
      <c r="C11" s="439">
        <v>316</v>
      </c>
      <c r="D11" s="439">
        <v>974</v>
      </c>
      <c r="E11" s="439">
        <v>181</v>
      </c>
      <c r="F11" s="439">
        <v>268</v>
      </c>
      <c r="G11" s="439">
        <v>228</v>
      </c>
      <c r="H11" s="439">
        <v>739</v>
      </c>
      <c r="I11" s="439">
        <v>134</v>
      </c>
      <c r="J11" s="439">
        <v>190</v>
      </c>
      <c r="K11" s="439">
        <v>246</v>
      </c>
      <c r="L11" s="439">
        <f>640+33</f>
        <v>673</v>
      </c>
      <c r="M11" s="439">
        <v>95</v>
      </c>
      <c r="N11" s="439">
        <v>140</v>
      </c>
      <c r="O11" s="439">
        <v>139</v>
      </c>
      <c r="P11" s="439">
        <v>649</v>
      </c>
      <c r="Q11" s="439">
        <v>103</v>
      </c>
    </row>
    <row r="12" spans="1:38">
      <c r="B12" s="505" t="s">
        <v>299</v>
      </c>
      <c r="C12" s="439">
        <v>377</v>
      </c>
      <c r="D12" s="439">
        <v>262</v>
      </c>
      <c r="E12" s="439">
        <v>230</v>
      </c>
      <c r="F12" s="439">
        <v>198</v>
      </c>
      <c r="G12" s="439">
        <v>351</v>
      </c>
      <c r="H12" s="439">
        <v>241</v>
      </c>
      <c r="I12" s="439">
        <v>194</v>
      </c>
      <c r="J12" s="439">
        <v>157</v>
      </c>
      <c r="K12" s="439">
        <v>258</v>
      </c>
      <c r="L12" s="439">
        <v>112</v>
      </c>
      <c r="M12" s="439">
        <v>103</v>
      </c>
      <c r="N12" s="439">
        <v>93</v>
      </c>
      <c r="O12" s="439">
        <v>207</v>
      </c>
      <c r="P12" s="439">
        <v>144</v>
      </c>
      <c r="Q12" s="439">
        <v>146</v>
      </c>
    </row>
    <row r="13" spans="1:38">
      <c r="B13" s="505" t="s">
        <v>63</v>
      </c>
      <c r="C13" s="439">
        <v>226</v>
      </c>
      <c r="D13" s="439">
        <v>235</v>
      </c>
      <c r="E13" s="439">
        <v>245</v>
      </c>
      <c r="F13" s="439">
        <v>231</v>
      </c>
      <c r="G13" s="439">
        <v>253</v>
      </c>
      <c r="H13" s="439">
        <v>224</v>
      </c>
      <c r="I13" s="439">
        <v>217</v>
      </c>
      <c r="J13" s="439">
        <v>219</v>
      </c>
      <c r="K13" s="439">
        <v>248</v>
      </c>
      <c r="L13" s="439">
        <v>147</v>
      </c>
      <c r="M13" s="439">
        <v>129</v>
      </c>
      <c r="N13" s="439">
        <v>126</v>
      </c>
      <c r="O13" s="439">
        <v>150</v>
      </c>
      <c r="P13" s="439">
        <v>137</v>
      </c>
      <c r="Q13" s="439">
        <v>148</v>
      </c>
    </row>
    <row r="14" spans="1:38">
      <c r="B14" s="505" t="s">
        <v>64</v>
      </c>
      <c r="C14" s="439">
        <v>10</v>
      </c>
      <c r="D14" s="439">
        <v>35</v>
      </c>
      <c r="E14" s="439">
        <v>35</v>
      </c>
      <c r="F14" s="439">
        <v>51</v>
      </c>
      <c r="G14" s="439">
        <v>65</v>
      </c>
      <c r="H14" s="439">
        <v>55</v>
      </c>
      <c r="I14" s="439">
        <v>40</v>
      </c>
      <c r="J14" s="439">
        <v>27</v>
      </c>
      <c r="K14" s="439">
        <v>26</v>
      </c>
      <c r="L14" s="439">
        <v>45</v>
      </c>
      <c r="M14" s="439">
        <v>32</v>
      </c>
      <c r="N14" s="439">
        <v>43</v>
      </c>
      <c r="O14" s="439">
        <v>42</v>
      </c>
      <c r="P14" s="439">
        <v>22</v>
      </c>
      <c r="Q14" s="439">
        <v>22</v>
      </c>
    </row>
    <row r="15" spans="1:38">
      <c r="B15" s="505" t="s">
        <v>12</v>
      </c>
      <c r="C15" s="439">
        <v>228</v>
      </c>
      <c r="D15" s="439">
        <v>537</v>
      </c>
      <c r="E15" s="439">
        <v>573</v>
      </c>
      <c r="F15" s="439">
        <v>794</v>
      </c>
      <c r="G15" s="439">
        <v>730</v>
      </c>
      <c r="H15" s="439">
        <v>502</v>
      </c>
      <c r="I15" s="439">
        <v>400</v>
      </c>
      <c r="J15" s="439">
        <v>407</v>
      </c>
      <c r="K15" s="439">
        <v>427</v>
      </c>
      <c r="L15" s="439">
        <v>648</v>
      </c>
      <c r="M15" s="439">
        <v>464</v>
      </c>
      <c r="N15" s="439">
        <v>511</v>
      </c>
      <c r="O15" s="439">
        <v>507</v>
      </c>
      <c r="P15" s="439">
        <v>507</v>
      </c>
      <c r="Q15" s="439">
        <v>445</v>
      </c>
    </row>
    <row r="16" spans="1:38">
      <c r="B16" s="505" t="s">
        <v>67</v>
      </c>
      <c r="C16" s="439">
        <v>51</v>
      </c>
      <c r="D16" s="439">
        <v>14</v>
      </c>
      <c r="E16" s="439">
        <v>4</v>
      </c>
      <c r="F16" s="439">
        <v>2</v>
      </c>
      <c r="G16" s="439">
        <v>1</v>
      </c>
      <c r="H16" s="439">
        <v>0</v>
      </c>
      <c r="I16" s="439">
        <v>0</v>
      </c>
      <c r="J16" s="439">
        <v>0</v>
      </c>
      <c r="K16" s="439">
        <v>0</v>
      </c>
      <c r="L16" s="439">
        <v>0</v>
      </c>
      <c r="M16" s="439">
        <v>0</v>
      </c>
      <c r="N16" s="439">
        <v>0</v>
      </c>
      <c r="O16" s="439">
        <v>0</v>
      </c>
      <c r="P16" s="439">
        <v>0</v>
      </c>
      <c r="Q16" s="439">
        <v>0</v>
      </c>
    </row>
    <row r="17" spans="1:17" s="510" customFormat="1">
      <c r="B17" s="505" t="s">
        <v>65</v>
      </c>
      <c r="C17" s="514">
        <v>57</v>
      </c>
      <c r="D17" s="514">
        <v>206</v>
      </c>
      <c r="E17" s="514">
        <v>215</v>
      </c>
      <c r="F17" s="514">
        <v>129</v>
      </c>
      <c r="G17" s="514">
        <v>167</v>
      </c>
      <c r="H17" s="514">
        <v>327</v>
      </c>
      <c r="I17" s="514">
        <v>164</v>
      </c>
      <c r="J17" s="514">
        <v>128</v>
      </c>
      <c r="K17" s="514">
        <v>102</v>
      </c>
      <c r="L17" s="514">
        <v>299</v>
      </c>
      <c r="M17" s="514">
        <v>175</v>
      </c>
      <c r="N17" s="514">
        <v>97</v>
      </c>
      <c r="O17" s="514">
        <v>136</v>
      </c>
      <c r="P17" s="514">
        <v>396</v>
      </c>
      <c r="Q17" s="514">
        <v>226</v>
      </c>
    </row>
    <row r="18" spans="1:17">
      <c r="B18" s="510" t="s">
        <v>13</v>
      </c>
      <c r="C18" s="515">
        <f t="shared" ref="C18:L18" si="0">SUM(C9:C17)</f>
        <v>4201</v>
      </c>
      <c r="D18" s="515">
        <f>SUM(D9:D17)</f>
        <v>5265</v>
      </c>
      <c r="E18" s="515">
        <f>SUM(E9:E17)</f>
        <v>4513</v>
      </c>
      <c r="F18" s="515">
        <f>SUM(F9:F17)</f>
        <v>4503</v>
      </c>
      <c r="G18" s="515">
        <f>SUM(G9:G17)</f>
        <v>4516</v>
      </c>
      <c r="H18" s="515">
        <f t="shared" si="0"/>
        <v>5333</v>
      </c>
      <c r="I18" s="515">
        <f t="shared" si="0"/>
        <v>4491</v>
      </c>
      <c r="J18" s="515">
        <f t="shared" si="0"/>
        <v>3974</v>
      </c>
      <c r="K18" s="515">
        <f t="shared" si="0"/>
        <v>4156</v>
      </c>
      <c r="L18" s="515">
        <f t="shared" si="0"/>
        <v>5432</v>
      </c>
      <c r="M18" s="515">
        <f>SUM(M9:M17)</f>
        <v>4357</v>
      </c>
      <c r="N18" s="515">
        <f>SUM(N9:N17)</f>
        <v>3954</v>
      </c>
      <c r="O18" s="515">
        <f>SUM(O9:O17)</f>
        <v>4082</v>
      </c>
      <c r="P18" s="515">
        <f>SUM(P9:P17)</f>
        <v>5380</v>
      </c>
      <c r="Q18" s="515">
        <f>SUM(Q9:Q17)</f>
        <v>4566</v>
      </c>
    </row>
    <row r="19" spans="1:17">
      <c r="C19" s="439"/>
      <c r="D19" s="439"/>
      <c r="E19" s="439"/>
      <c r="F19" s="439"/>
      <c r="G19" s="439"/>
      <c r="H19" s="439"/>
      <c r="I19" s="439"/>
      <c r="J19" s="439"/>
      <c r="K19" s="439"/>
      <c r="L19" s="439"/>
      <c r="M19" s="439"/>
      <c r="N19" s="439"/>
      <c r="O19" s="439"/>
      <c r="P19" s="439"/>
      <c r="Q19" s="439"/>
    </row>
    <row r="20" spans="1:17">
      <c r="B20" s="505" t="s">
        <v>66</v>
      </c>
      <c r="C20" s="439">
        <v>86</v>
      </c>
      <c r="D20" s="439">
        <v>78</v>
      </c>
      <c r="E20" s="439">
        <v>79</v>
      </c>
      <c r="F20" s="439">
        <v>23</v>
      </c>
      <c r="G20" s="439">
        <v>22</v>
      </c>
      <c r="H20" s="439">
        <v>23</v>
      </c>
      <c r="I20" s="439">
        <v>23</v>
      </c>
      <c r="J20" s="439">
        <v>23</v>
      </c>
      <c r="K20" s="439">
        <v>23</v>
      </c>
      <c r="L20" s="439">
        <v>23</v>
      </c>
      <c r="M20" s="439">
        <v>25</v>
      </c>
      <c r="N20" s="439">
        <v>25</v>
      </c>
      <c r="O20" s="439">
        <v>25</v>
      </c>
      <c r="P20" s="439">
        <v>16</v>
      </c>
      <c r="Q20" s="439">
        <v>17</v>
      </c>
    </row>
    <row r="21" spans="1:17" s="510" customFormat="1">
      <c r="B21" s="505" t="s">
        <v>63</v>
      </c>
      <c r="C21" s="439">
        <v>20</v>
      </c>
      <c r="D21" s="439">
        <v>1</v>
      </c>
      <c r="E21" s="439">
        <v>6</v>
      </c>
      <c r="F21" s="439">
        <v>16</v>
      </c>
      <c r="G21" s="439">
        <v>15</v>
      </c>
      <c r="H21" s="439">
        <v>10</v>
      </c>
      <c r="I21" s="439">
        <v>4</v>
      </c>
      <c r="J21" s="439">
        <v>30</v>
      </c>
      <c r="K21" s="439">
        <v>37</v>
      </c>
      <c r="L21" s="439">
        <v>55</v>
      </c>
      <c r="M21" s="439">
        <v>65</v>
      </c>
      <c r="N21" s="439">
        <v>90</v>
      </c>
      <c r="O21" s="439">
        <v>114</v>
      </c>
      <c r="P21" s="439">
        <v>62</v>
      </c>
      <c r="Q21" s="439">
        <v>91</v>
      </c>
    </row>
    <row r="22" spans="1:17" s="510" customFormat="1">
      <c r="B22" s="505" t="s">
        <v>64</v>
      </c>
      <c r="C22" s="439">
        <v>0</v>
      </c>
      <c r="D22" s="439">
        <v>5</v>
      </c>
      <c r="E22" s="439">
        <v>5</v>
      </c>
      <c r="F22" s="439">
        <v>5</v>
      </c>
      <c r="G22" s="439">
        <v>0</v>
      </c>
      <c r="H22" s="439">
        <v>28</v>
      </c>
      <c r="I22" s="439">
        <v>29</v>
      </c>
      <c r="J22" s="439">
        <v>32</v>
      </c>
      <c r="K22" s="439">
        <v>36</v>
      </c>
      <c r="L22" s="439">
        <v>28</v>
      </c>
      <c r="M22" s="439">
        <v>29</v>
      </c>
      <c r="N22" s="439">
        <v>16</v>
      </c>
      <c r="O22" s="439">
        <v>13</v>
      </c>
      <c r="P22" s="439">
        <v>12</v>
      </c>
      <c r="Q22" s="439">
        <v>12</v>
      </c>
    </row>
    <row r="23" spans="1:17" s="510" customFormat="1">
      <c r="B23" s="505" t="s">
        <v>15</v>
      </c>
      <c r="C23" s="439">
        <v>168</v>
      </c>
      <c r="D23" s="439">
        <v>149</v>
      </c>
      <c r="E23" s="439">
        <v>138</v>
      </c>
      <c r="F23" s="439">
        <v>134</v>
      </c>
      <c r="G23" s="439">
        <v>133</v>
      </c>
      <c r="H23" s="439">
        <v>138</v>
      </c>
      <c r="I23" s="439">
        <v>131</v>
      </c>
      <c r="J23" s="439">
        <v>160</v>
      </c>
      <c r="K23" s="439">
        <v>169</v>
      </c>
      <c r="L23" s="439">
        <v>169</v>
      </c>
      <c r="M23" s="439">
        <v>165</v>
      </c>
      <c r="N23" s="439">
        <v>163</v>
      </c>
      <c r="O23" s="439">
        <v>167</v>
      </c>
      <c r="P23" s="439">
        <v>163</v>
      </c>
      <c r="Q23" s="439">
        <v>154</v>
      </c>
    </row>
    <row r="24" spans="1:17" s="510" customFormat="1">
      <c r="B24" s="505" t="s">
        <v>74</v>
      </c>
      <c r="C24" s="439">
        <v>80</v>
      </c>
      <c r="D24" s="439">
        <v>0</v>
      </c>
      <c r="E24" s="439">
        <v>0</v>
      </c>
      <c r="F24" s="439">
        <v>0</v>
      </c>
      <c r="G24" s="439">
        <v>0</v>
      </c>
      <c r="H24" s="439">
        <v>0</v>
      </c>
      <c r="I24" s="439">
        <v>0</v>
      </c>
      <c r="J24" s="439">
        <v>0</v>
      </c>
      <c r="K24" s="439">
        <v>0</v>
      </c>
      <c r="L24" s="439">
        <v>0</v>
      </c>
      <c r="M24" s="439">
        <v>0</v>
      </c>
      <c r="N24" s="439">
        <v>0</v>
      </c>
      <c r="O24" s="439">
        <v>0</v>
      </c>
      <c r="P24" s="439">
        <v>0</v>
      </c>
      <c r="Q24" s="439">
        <v>0</v>
      </c>
    </row>
    <row r="25" spans="1:17" s="510" customFormat="1">
      <c r="B25" s="505" t="s">
        <v>9</v>
      </c>
      <c r="C25" s="439">
        <v>21</v>
      </c>
      <c r="D25" s="439">
        <v>25</v>
      </c>
      <c r="E25" s="439">
        <v>18</v>
      </c>
      <c r="F25" s="439">
        <v>11</v>
      </c>
      <c r="G25" s="439">
        <v>7</v>
      </c>
      <c r="H25" s="439">
        <v>9</v>
      </c>
      <c r="I25" s="439">
        <v>11</v>
      </c>
      <c r="J25" s="439">
        <v>13</v>
      </c>
      <c r="K25" s="439">
        <v>14</v>
      </c>
      <c r="L25" s="439">
        <v>15</v>
      </c>
      <c r="M25" s="439">
        <v>17</v>
      </c>
      <c r="N25" s="439">
        <v>16</v>
      </c>
      <c r="O25" s="439">
        <v>15</v>
      </c>
      <c r="P25" s="439">
        <v>12</v>
      </c>
      <c r="Q25" s="439">
        <v>15</v>
      </c>
    </row>
    <row r="26" spans="1:17" s="510" customFormat="1">
      <c r="B26" s="505" t="s">
        <v>67</v>
      </c>
      <c r="C26" s="439">
        <v>1462</v>
      </c>
      <c r="D26" s="439">
        <v>1283</v>
      </c>
      <c r="E26" s="439">
        <v>1244</v>
      </c>
      <c r="F26" s="439">
        <v>1206</v>
      </c>
      <c r="G26" s="439">
        <v>1168</v>
      </c>
      <c r="H26" s="439">
        <v>618</v>
      </c>
      <c r="I26" s="439">
        <v>599</v>
      </c>
      <c r="J26" s="439">
        <v>587</v>
      </c>
      <c r="K26" s="439">
        <v>566</v>
      </c>
      <c r="L26" s="439">
        <v>160</v>
      </c>
      <c r="M26" s="439">
        <v>152</v>
      </c>
      <c r="N26" s="439">
        <v>145</v>
      </c>
      <c r="O26" s="439">
        <v>138</v>
      </c>
      <c r="P26" s="439">
        <v>88</v>
      </c>
      <c r="Q26" s="439">
        <v>85</v>
      </c>
    </row>
    <row r="27" spans="1:17" s="510" customFormat="1">
      <c r="B27" s="505" t="s">
        <v>68</v>
      </c>
      <c r="C27" s="439">
        <v>433</v>
      </c>
      <c r="D27" s="439">
        <v>433</v>
      </c>
      <c r="E27" s="439">
        <v>433</v>
      </c>
      <c r="F27" s="439">
        <v>433</v>
      </c>
      <c r="G27" s="439">
        <v>433</v>
      </c>
      <c r="H27" s="439">
        <v>433</v>
      </c>
      <c r="I27" s="439">
        <v>433</v>
      </c>
      <c r="J27" s="439">
        <v>433</v>
      </c>
      <c r="K27" s="439">
        <v>433</v>
      </c>
      <c r="L27" s="439">
        <v>433</v>
      </c>
      <c r="M27" s="439">
        <v>433</v>
      </c>
      <c r="N27" s="439">
        <v>433</v>
      </c>
      <c r="O27" s="439">
        <v>433</v>
      </c>
      <c r="P27" s="439">
        <v>433</v>
      </c>
      <c r="Q27" s="439">
        <v>433</v>
      </c>
    </row>
    <row r="28" spans="1:17">
      <c r="B28" s="505" t="s">
        <v>8</v>
      </c>
      <c r="C28" s="514">
        <v>7270</v>
      </c>
      <c r="D28" s="514">
        <v>7227</v>
      </c>
      <c r="E28" s="514">
        <v>7213</v>
      </c>
      <c r="F28" s="514">
        <v>7176</v>
      </c>
      <c r="G28" s="514">
        <v>7161</v>
      </c>
      <c r="H28" s="514">
        <v>7154</v>
      </c>
      <c r="I28" s="514">
        <v>7150</v>
      </c>
      <c r="J28" s="514">
        <v>7147</v>
      </c>
      <c r="K28" s="514">
        <v>7144</v>
      </c>
      <c r="L28" s="514">
        <v>7132</v>
      </c>
      <c r="M28" s="514">
        <v>7134</v>
      </c>
      <c r="N28" s="514">
        <v>7130</v>
      </c>
      <c r="O28" s="514">
        <v>7126</v>
      </c>
      <c r="P28" s="514">
        <v>7111</v>
      </c>
      <c r="Q28" s="514">
        <v>7109</v>
      </c>
    </row>
    <row r="29" spans="1:17" ht="12.75" thickBot="1">
      <c r="B29" s="510" t="s">
        <v>20</v>
      </c>
      <c r="C29" s="516">
        <f t="shared" ref="C29:N29" si="1">SUM(C18:C28)</f>
        <v>13741</v>
      </c>
      <c r="D29" s="516">
        <f t="shared" si="1"/>
        <v>14466</v>
      </c>
      <c r="E29" s="516">
        <f t="shared" si="1"/>
        <v>13649</v>
      </c>
      <c r="F29" s="516">
        <f>SUM(F18:F28)</f>
        <v>13507</v>
      </c>
      <c r="G29" s="516">
        <f>SUM(G18:G28)</f>
        <v>13455</v>
      </c>
      <c r="H29" s="516">
        <f t="shared" si="1"/>
        <v>13746</v>
      </c>
      <c r="I29" s="516">
        <f t="shared" si="1"/>
        <v>12871</v>
      </c>
      <c r="J29" s="516">
        <f t="shared" si="1"/>
        <v>12399</v>
      </c>
      <c r="K29" s="516">
        <f t="shared" si="1"/>
        <v>12578</v>
      </c>
      <c r="L29" s="516">
        <f t="shared" si="1"/>
        <v>13447</v>
      </c>
      <c r="M29" s="516">
        <f t="shared" si="1"/>
        <v>12377</v>
      </c>
      <c r="N29" s="516">
        <f t="shared" si="1"/>
        <v>11972</v>
      </c>
      <c r="O29" s="516">
        <f t="shared" ref="O29:P29" si="2">SUM(O18:O28)</f>
        <v>12113</v>
      </c>
      <c r="P29" s="516">
        <f t="shared" si="2"/>
        <v>13277</v>
      </c>
      <c r="Q29" s="516">
        <f t="shared" ref="Q29" si="3">SUM(Q18:Q28)</f>
        <v>12482</v>
      </c>
    </row>
    <row r="30" spans="1:17">
      <c r="B30" s="510"/>
      <c r="C30" s="517"/>
      <c r="D30" s="517"/>
      <c r="E30" s="517"/>
      <c r="F30" s="517"/>
      <c r="G30" s="517"/>
      <c r="H30" s="517"/>
      <c r="I30" s="517"/>
      <c r="J30" s="517"/>
      <c r="K30" s="517"/>
      <c r="L30" s="517"/>
      <c r="M30" s="517"/>
      <c r="N30" s="517"/>
      <c r="O30" s="517"/>
      <c r="P30" s="517"/>
      <c r="Q30" s="517"/>
    </row>
    <row r="31" spans="1:17">
      <c r="A31" s="510" t="s">
        <v>16</v>
      </c>
      <c r="B31" s="510"/>
      <c r="C31" s="439"/>
      <c r="D31" s="439"/>
      <c r="E31" s="439"/>
      <c r="F31" s="439"/>
      <c r="G31" s="439"/>
      <c r="H31" s="439"/>
      <c r="I31" s="439"/>
      <c r="J31" s="439"/>
      <c r="K31" s="439"/>
      <c r="L31" s="439"/>
      <c r="M31" s="439"/>
      <c r="N31" s="439"/>
      <c r="O31" s="439"/>
      <c r="P31" s="439"/>
      <c r="Q31" s="439"/>
    </row>
    <row r="32" spans="1:17">
      <c r="B32" s="510"/>
      <c r="C32" s="439"/>
      <c r="D32" s="439"/>
      <c r="E32" s="439"/>
      <c r="F32" s="439"/>
      <c r="G32" s="439"/>
      <c r="H32" s="439"/>
      <c r="I32" s="439"/>
      <c r="J32" s="439"/>
      <c r="K32" s="439"/>
      <c r="L32" s="439"/>
      <c r="M32" s="439"/>
      <c r="N32" s="439"/>
      <c r="O32" s="439"/>
      <c r="P32" s="439"/>
      <c r="Q32" s="439"/>
    </row>
    <row r="33" spans="2:17">
      <c r="B33" s="505" t="s">
        <v>17</v>
      </c>
      <c r="C33" s="439"/>
      <c r="D33" s="439"/>
      <c r="E33" s="439"/>
      <c r="F33" s="439"/>
      <c r="G33" s="439"/>
      <c r="H33" s="439"/>
      <c r="I33" s="439"/>
      <c r="J33" s="439"/>
      <c r="K33" s="439"/>
      <c r="L33" s="439"/>
      <c r="M33" s="439"/>
      <c r="N33" s="439"/>
      <c r="O33" s="439"/>
      <c r="P33" s="439"/>
      <c r="Q33" s="439"/>
    </row>
    <row r="34" spans="2:17">
      <c r="B34" s="505" t="s">
        <v>69</v>
      </c>
      <c r="C34" s="513">
        <v>338</v>
      </c>
      <c r="D34" s="513">
        <v>319</v>
      </c>
      <c r="E34" s="513">
        <v>159</v>
      </c>
      <c r="F34" s="513">
        <v>121</v>
      </c>
      <c r="G34" s="513">
        <v>282</v>
      </c>
      <c r="H34" s="513">
        <v>302</v>
      </c>
      <c r="I34" s="513">
        <v>147</v>
      </c>
      <c r="J34" s="513">
        <v>149</v>
      </c>
      <c r="K34" s="513">
        <v>238</v>
      </c>
      <c r="L34" s="513">
        <v>363</v>
      </c>
      <c r="M34" s="513">
        <v>172</v>
      </c>
      <c r="N34" s="513">
        <v>156</v>
      </c>
      <c r="O34" s="513">
        <v>250</v>
      </c>
      <c r="P34" s="513">
        <v>390</v>
      </c>
      <c r="Q34" s="513">
        <v>181</v>
      </c>
    </row>
    <row r="35" spans="2:17" s="510" customFormat="1">
      <c r="B35" s="505" t="s">
        <v>70</v>
      </c>
      <c r="C35" s="439">
        <v>206</v>
      </c>
      <c r="D35" s="439">
        <v>923</v>
      </c>
      <c r="E35" s="439">
        <v>647</v>
      </c>
      <c r="F35" s="439">
        <v>423</v>
      </c>
      <c r="G35" s="439">
        <v>471</v>
      </c>
      <c r="H35" s="439">
        <v>1426</v>
      </c>
      <c r="I35" s="439">
        <v>772</v>
      </c>
      <c r="J35" s="439">
        <v>482</v>
      </c>
      <c r="K35" s="439">
        <v>622</v>
      </c>
      <c r="L35" s="439">
        <v>1726</v>
      </c>
      <c r="M35" s="439">
        <v>1043</v>
      </c>
      <c r="N35" s="439">
        <v>601</v>
      </c>
      <c r="O35" s="439">
        <v>487</v>
      </c>
      <c r="P35" s="439">
        <v>1472</v>
      </c>
      <c r="Q35" s="439">
        <v>917</v>
      </c>
    </row>
    <row r="36" spans="2:17" s="510" customFormat="1">
      <c r="B36" s="505" t="s">
        <v>71</v>
      </c>
      <c r="C36" s="514">
        <v>557</v>
      </c>
      <c r="D36" s="514">
        <v>844</v>
      </c>
      <c r="E36" s="514">
        <v>508</v>
      </c>
      <c r="F36" s="514">
        <v>539</v>
      </c>
      <c r="G36" s="514">
        <v>540</v>
      </c>
      <c r="H36" s="514">
        <v>788</v>
      </c>
      <c r="I36" s="514">
        <v>635</v>
      </c>
      <c r="J36" s="514">
        <v>473</v>
      </c>
      <c r="K36" s="514">
        <v>552</v>
      </c>
      <c r="L36" s="514">
        <f>838+33</f>
        <v>871</v>
      </c>
      <c r="M36" s="514">
        <v>676</v>
      </c>
      <c r="N36" s="514">
        <v>489</v>
      </c>
      <c r="O36" s="514">
        <v>542</v>
      </c>
      <c r="P36" s="514">
        <v>694</v>
      </c>
      <c r="Q36" s="514">
        <v>676</v>
      </c>
    </row>
    <row r="37" spans="2:17">
      <c r="B37" s="510" t="s">
        <v>21</v>
      </c>
      <c r="C37" s="515">
        <f t="shared" ref="C37:L37" si="4">SUM(C34:C36)</f>
        <v>1101</v>
      </c>
      <c r="D37" s="515">
        <f t="shared" si="4"/>
        <v>2086</v>
      </c>
      <c r="E37" s="515">
        <f t="shared" si="4"/>
        <v>1314</v>
      </c>
      <c r="F37" s="515">
        <f t="shared" si="4"/>
        <v>1083</v>
      </c>
      <c r="G37" s="515">
        <f t="shared" si="4"/>
        <v>1293</v>
      </c>
      <c r="H37" s="515">
        <f t="shared" si="4"/>
        <v>2516</v>
      </c>
      <c r="I37" s="515">
        <f t="shared" si="4"/>
        <v>1554</v>
      </c>
      <c r="J37" s="515">
        <f t="shared" si="4"/>
        <v>1104</v>
      </c>
      <c r="K37" s="515">
        <f t="shared" si="4"/>
        <v>1412</v>
      </c>
      <c r="L37" s="515">
        <f t="shared" si="4"/>
        <v>2960</v>
      </c>
      <c r="M37" s="515">
        <f>SUM(M34:M36)</f>
        <v>1891</v>
      </c>
      <c r="N37" s="515">
        <f>SUM(N34:N36)</f>
        <v>1246</v>
      </c>
      <c r="O37" s="515">
        <f>SUM(O34:O36)</f>
        <v>1279</v>
      </c>
      <c r="P37" s="515">
        <f>SUM(P34:P36)</f>
        <v>2556</v>
      </c>
      <c r="Q37" s="515">
        <f>SUM(Q34:Q36)</f>
        <v>1774</v>
      </c>
    </row>
    <row r="38" spans="2:17">
      <c r="C38" s="439"/>
      <c r="D38" s="439"/>
      <c r="E38" s="439"/>
      <c r="F38" s="439"/>
      <c r="G38" s="439"/>
      <c r="H38" s="439"/>
      <c r="I38" s="439"/>
      <c r="J38" s="439"/>
      <c r="K38" s="439"/>
      <c r="L38" s="439"/>
      <c r="M38" s="439"/>
      <c r="N38" s="439"/>
      <c r="O38" s="439"/>
      <c r="P38" s="439"/>
      <c r="Q38" s="439"/>
    </row>
    <row r="39" spans="2:17" s="510" customFormat="1">
      <c r="B39" s="505" t="s">
        <v>12</v>
      </c>
      <c r="C39" s="439">
        <v>696</v>
      </c>
      <c r="D39" s="439">
        <v>616</v>
      </c>
      <c r="E39" s="439">
        <v>710</v>
      </c>
      <c r="F39" s="439">
        <v>701</v>
      </c>
      <c r="G39" s="439">
        <v>688</v>
      </c>
      <c r="H39" s="439">
        <v>274</v>
      </c>
      <c r="I39" s="439">
        <v>259</v>
      </c>
      <c r="J39" s="439">
        <v>255</v>
      </c>
      <c r="K39" s="439">
        <v>239</v>
      </c>
      <c r="L39" s="439">
        <v>120</v>
      </c>
      <c r="M39" s="439">
        <v>83</v>
      </c>
      <c r="N39" s="439">
        <v>97</v>
      </c>
      <c r="O39" s="439">
        <v>95</v>
      </c>
      <c r="P39" s="439">
        <v>55</v>
      </c>
      <c r="Q39" s="439">
        <v>57</v>
      </c>
    </row>
    <row r="40" spans="2:17">
      <c r="B40" s="505" t="s">
        <v>10</v>
      </c>
      <c r="C40" s="514">
        <v>169</v>
      </c>
      <c r="D40" s="514">
        <v>237</v>
      </c>
      <c r="E40" s="514">
        <v>177</v>
      </c>
      <c r="F40" s="514">
        <v>192</v>
      </c>
      <c r="G40" s="514">
        <v>182</v>
      </c>
      <c r="H40" s="514">
        <v>200</v>
      </c>
      <c r="I40" s="514">
        <v>190</v>
      </c>
      <c r="J40" s="514">
        <v>182</v>
      </c>
      <c r="K40" s="514">
        <v>181</v>
      </c>
      <c r="L40" s="514">
        <v>164</v>
      </c>
      <c r="M40" s="514">
        <v>166</v>
      </c>
      <c r="N40" s="514">
        <v>164</v>
      </c>
      <c r="O40" s="514">
        <v>168</v>
      </c>
      <c r="P40" s="514">
        <v>174</v>
      </c>
      <c r="Q40" s="514">
        <v>165</v>
      </c>
    </row>
    <row r="41" spans="2:17">
      <c r="B41" s="510" t="s">
        <v>18</v>
      </c>
      <c r="C41" s="515">
        <f t="shared" ref="C41:L41" si="5">SUM(C37:C40)</f>
        <v>1966</v>
      </c>
      <c r="D41" s="515">
        <f t="shared" si="5"/>
        <v>2939</v>
      </c>
      <c r="E41" s="515">
        <f t="shared" si="5"/>
        <v>2201</v>
      </c>
      <c r="F41" s="515">
        <f t="shared" si="5"/>
        <v>1976</v>
      </c>
      <c r="G41" s="515">
        <f t="shared" si="5"/>
        <v>2163</v>
      </c>
      <c r="H41" s="515">
        <f t="shared" si="5"/>
        <v>2990</v>
      </c>
      <c r="I41" s="515">
        <f t="shared" si="5"/>
        <v>2003</v>
      </c>
      <c r="J41" s="515">
        <f t="shared" si="5"/>
        <v>1541</v>
      </c>
      <c r="K41" s="515">
        <f t="shared" si="5"/>
        <v>1832</v>
      </c>
      <c r="L41" s="515">
        <f t="shared" si="5"/>
        <v>3244</v>
      </c>
      <c r="M41" s="515">
        <f>SUM(M37:M40)</f>
        <v>2140</v>
      </c>
      <c r="N41" s="515">
        <f>SUM(N37:N40)</f>
        <v>1507</v>
      </c>
      <c r="O41" s="515">
        <f>SUM(O37:O40)</f>
        <v>1542</v>
      </c>
      <c r="P41" s="515">
        <f>SUM(P37:P40)</f>
        <v>2785</v>
      </c>
      <c r="Q41" s="515">
        <f>SUM(Q37:Q40)</f>
        <v>1996</v>
      </c>
    </row>
    <row r="42" spans="2:17">
      <c r="C42" s="439"/>
      <c r="D42" s="439"/>
      <c r="E42" s="439"/>
      <c r="F42" s="439"/>
      <c r="G42" s="439"/>
      <c r="H42" s="439"/>
      <c r="I42" s="439"/>
      <c r="J42" s="439"/>
      <c r="K42" s="439"/>
      <c r="L42" s="439"/>
      <c r="M42" s="439"/>
      <c r="N42" s="439"/>
      <c r="O42" s="439"/>
      <c r="P42" s="439"/>
      <c r="Q42" s="439"/>
    </row>
    <row r="43" spans="2:17">
      <c r="B43" s="505" t="s">
        <v>19</v>
      </c>
      <c r="C43" s="439">
        <v>0</v>
      </c>
      <c r="D43" s="439">
        <v>0</v>
      </c>
      <c r="E43" s="439">
        <v>0</v>
      </c>
      <c r="F43" s="439">
        <v>0</v>
      </c>
      <c r="G43" s="439">
        <v>0</v>
      </c>
      <c r="H43" s="439">
        <v>0</v>
      </c>
      <c r="I43" s="439">
        <v>0</v>
      </c>
      <c r="J43" s="439">
        <v>0</v>
      </c>
      <c r="K43" s="439">
        <v>0</v>
      </c>
      <c r="L43" s="439">
        <v>0</v>
      </c>
      <c r="M43" s="439">
        <v>0</v>
      </c>
      <c r="N43" s="439">
        <v>0</v>
      </c>
      <c r="O43" s="439">
        <v>0</v>
      </c>
      <c r="P43" s="439">
        <v>0</v>
      </c>
      <c r="Q43" s="439">
        <v>0</v>
      </c>
    </row>
    <row r="44" spans="2:17">
      <c r="B44" s="505" t="s">
        <v>72</v>
      </c>
      <c r="C44" s="439">
        <v>12165</v>
      </c>
      <c r="D44" s="439">
        <v>12170</v>
      </c>
      <c r="E44" s="439">
        <v>12218</v>
      </c>
      <c r="F44" s="439">
        <v>12303</v>
      </c>
      <c r="G44" s="439">
        <v>12332</v>
      </c>
      <c r="H44" s="439">
        <v>12376</v>
      </c>
      <c r="I44" s="439">
        <v>12234</v>
      </c>
      <c r="J44" s="439">
        <v>12260</v>
      </c>
      <c r="K44" s="439">
        <v>12313</v>
      </c>
      <c r="L44" s="439">
        <v>12353</v>
      </c>
      <c r="M44" s="439">
        <v>12382</v>
      </c>
      <c r="N44" s="439">
        <v>9735</v>
      </c>
      <c r="O44" s="439">
        <v>9751</v>
      </c>
      <c r="P44" s="439">
        <v>9616</v>
      </c>
      <c r="Q44" s="439">
        <v>9391</v>
      </c>
    </row>
    <row r="45" spans="2:17">
      <c r="B45" s="505" t="s">
        <v>73</v>
      </c>
      <c r="C45" s="439">
        <v>0</v>
      </c>
      <c r="D45" s="439">
        <v>-126</v>
      </c>
      <c r="E45" s="439">
        <v>-439</v>
      </c>
      <c r="F45" s="439">
        <v>-668</v>
      </c>
      <c r="G45" s="439">
        <v>-960</v>
      </c>
      <c r="H45" s="439">
        <v>-1235</v>
      </c>
      <c r="I45" s="439">
        <v>-1342</v>
      </c>
      <c r="J45" s="439">
        <v>-1584</v>
      </c>
      <c r="K45" s="439">
        <v>-1848</v>
      </c>
      <c r="L45" s="439">
        <v>-2194</v>
      </c>
      <c r="M45" s="439">
        <v>-2537</v>
      </c>
      <c r="N45" s="439">
        <v>0</v>
      </c>
      <c r="O45" s="439">
        <v>0</v>
      </c>
      <c r="P45" s="439">
        <v>0</v>
      </c>
      <c r="Q45" s="439">
        <v>0</v>
      </c>
    </row>
    <row r="46" spans="2:17">
      <c r="B46" s="505" t="s">
        <v>40</v>
      </c>
      <c r="C46" s="439">
        <v>-403</v>
      </c>
      <c r="D46" s="439">
        <v>-474</v>
      </c>
      <c r="E46" s="439">
        <v>-285</v>
      </c>
      <c r="F46" s="439">
        <v>-90</v>
      </c>
      <c r="G46" s="439">
        <v>-75</v>
      </c>
      <c r="H46" s="439">
        <v>-361</v>
      </c>
      <c r="I46" s="439">
        <v>20</v>
      </c>
      <c r="J46" s="439">
        <v>239</v>
      </c>
      <c r="K46" s="439">
        <v>290</v>
      </c>
      <c r="L46" s="439">
        <v>57</v>
      </c>
      <c r="M46" s="439">
        <v>366</v>
      </c>
      <c r="N46" s="439">
        <v>701</v>
      </c>
      <c r="O46" s="439">
        <v>849</v>
      </c>
      <c r="P46" s="439">
        <v>948</v>
      </c>
      <c r="Q46" s="439">
        <v>1128</v>
      </c>
    </row>
    <row r="47" spans="2:17">
      <c r="B47" s="505" t="s">
        <v>242</v>
      </c>
      <c r="C47" s="439">
        <v>13</v>
      </c>
      <c r="D47" s="439">
        <v>-43</v>
      </c>
      <c r="E47" s="439">
        <v>-46</v>
      </c>
      <c r="F47" s="439">
        <v>-14</v>
      </c>
      <c r="G47" s="439">
        <v>-5</v>
      </c>
      <c r="H47" s="439">
        <v>-24</v>
      </c>
      <c r="I47" s="439">
        <v>-44</v>
      </c>
      <c r="J47" s="439">
        <v>-57</v>
      </c>
      <c r="K47" s="439">
        <v>-9</v>
      </c>
      <c r="L47" s="439">
        <v>-13</v>
      </c>
      <c r="M47" s="439">
        <v>26</v>
      </c>
      <c r="N47" s="439">
        <v>29</v>
      </c>
      <c r="O47" s="439">
        <v>-29</v>
      </c>
      <c r="P47" s="439">
        <v>-72</v>
      </c>
      <c r="Q47" s="439">
        <v>-33</v>
      </c>
    </row>
    <row r="48" spans="2:17">
      <c r="B48" s="510" t="s">
        <v>22</v>
      </c>
      <c r="C48" s="518">
        <f t="shared" ref="C48:L48" si="6">SUM(C43:C47)</f>
        <v>11775</v>
      </c>
      <c r="D48" s="518">
        <f t="shared" si="6"/>
        <v>11527</v>
      </c>
      <c r="E48" s="518">
        <f t="shared" si="6"/>
        <v>11448</v>
      </c>
      <c r="F48" s="518">
        <f t="shared" si="6"/>
        <v>11531</v>
      </c>
      <c r="G48" s="518">
        <f t="shared" si="6"/>
        <v>11292</v>
      </c>
      <c r="H48" s="518">
        <f t="shared" si="6"/>
        <v>10756</v>
      </c>
      <c r="I48" s="518">
        <f t="shared" si="6"/>
        <v>10868</v>
      </c>
      <c r="J48" s="518">
        <f t="shared" si="6"/>
        <v>10858</v>
      </c>
      <c r="K48" s="518">
        <f t="shared" si="6"/>
        <v>10746</v>
      </c>
      <c r="L48" s="518">
        <f t="shared" si="6"/>
        <v>10203</v>
      </c>
      <c r="M48" s="518">
        <f>SUM(M43:M47)</f>
        <v>10237</v>
      </c>
      <c r="N48" s="518">
        <f>SUM(N43:N47)</f>
        <v>10465</v>
      </c>
      <c r="O48" s="518">
        <f>SUM(O43:O47)</f>
        <v>10571</v>
      </c>
      <c r="P48" s="518">
        <f>SUM(P43:P47)</f>
        <v>10492</v>
      </c>
      <c r="Q48" s="518">
        <f>SUM(Q43:Q47)</f>
        <v>10486</v>
      </c>
    </row>
    <row r="49" spans="2:17">
      <c r="B49" s="510"/>
      <c r="C49" s="519"/>
      <c r="D49" s="519"/>
      <c r="E49" s="519"/>
      <c r="F49" s="518"/>
      <c r="G49" s="518"/>
      <c r="H49" s="518"/>
      <c r="I49" s="518"/>
      <c r="J49" s="518"/>
      <c r="K49" s="518"/>
      <c r="L49" s="518"/>
      <c r="M49" s="518"/>
      <c r="N49" s="518"/>
      <c r="O49" s="518"/>
      <c r="P49" s="518"/>
      <c r="Q49" s="518"/>
    </row>
    <row r="50" spans="2:17" ht="12.75" thickBot="1">
      <c r="B50" s="510" t="s">
        <v>23</v>
      </c>
      <c r="C50" s="516">
        <f t="shared" ref="C50:L50" si="7">C41+C48</f>
        <v>13741</v>
      </c>
      <c r="D50" s="516">
        <f t="shared" si="7"/>
        <v>14466</v>
      </c>
      <c r="E50" s="516">
        <f t="shared" si="7"/>
        <v>13649</v>
      </c>
      <c r="F50" s="516">
        <f t="shared" si="7"/>
        <v>13507</v>
      </c>
      <c r="G50" s="516">
        <f t="shared" si="7"/>
        <v>13455</v>
      </c>
      <c r="H50" s="516">
        <f t="shared" si="7"/>
        <v>13746</v>
      </c>
      <c r="I50" s="516">
        <f t="shared" si="7"/>
        <v>12871</v>
      </c>
      <c r="J50" s="516">
        <f t="shared" si="7"/>
        <v>12399</v>
      </c>
      <c r="K50" s="516">
        <f t="shared" si="7"/>
        <v>12578</v>
      </c>
      <c r="L50" s="516">
        <f t="shared" si="7"/>
        <v>13447</v>
      </c>
      <c r="M50" s="516">
        <f>M41+M48</f>
        <v>12377</v>
      </c>
      <c r="N50" s="516">
        <f>N41+N48</f>
        <v>11972</v>
      </c>
      <c r="O50" s="516">
        <f>O41+O48</f>
        <v>12113</v>
      </c>
      <c r="P50" s="516">
        <f>P41+P48</f>
        <v>13277</v>
      </c>
      <c r="Q50" s="516">
        <f>Q41+Q48</f>
        <v>12482</v>
      </c>
    </row>
  </sheetData>
  <mergeCells count="3">
    <mergeCell ref="A1:Q1"/>
    <mergeCell ref="A2:Q2"/>
    <mergeCell ref="A3:Q3"/>
  </mergeCells>
  <pageMargins left="0.7" right="0.7" top="0.25" bottom="0.44" header="0.3" footer="0.3"/>
  <pageSetup scale="65" orientation="landscape" r:id="rId1"/>
  <headerFooter>
    <oddFooter>&amp;LActivision Blizzard, Inc.&amp;R&amp;P of &amp; 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view="pageBreakPreview" zoomScale="60" zoomScaleNormal="100" workbookViewId="0">
      <selection activeCell="J17" sqref="J17"/>
    </sheetView>
  </sheetViews>
  <sheetFormatPr defaultRowHeight="12"/>
  <cols>
    <col min="1" max="1" width="2.140625" style="71" customWidth="1"/>
    <col min="2" max="2" width="22.5703125" style="71" customWidth="1"/>
    <col min="3" max="3" width="2.5703125" style="71" customWidth="1"/>
    <col min="4" max="4" width="17.85546875" style="71" customWidth="1"/>
    <col min="5" max="5" width="2.140625" style="71" customWidth="1"/>
    <col min="6" max="6" width="17.85546875" style="71" customWidth="1"/>
    <col min="7" max="7" width="2.140625" style="71" customWidth="1"/>
    <col min="8" max="8" width="17.85546875" style="71" customWidth="1"/>
    <col min="9" max="16384" width="9.140625" style="71"/>
  </cols>
  <sheetData>
    <row r="1" spans="1:8" ht="15" customHeight="1">
      <c r="B1" s="595" t="s">
        <v>178</v>
      </c>
      <c r="C1" s="595"/>
      <c r="D1" s="595"/>
      <c r="E1" s="595"/>
      <c r="F1" s="595"/>
      <c r="G1" s="595"/>
      <c r="H1" s="595"/>
    </row>
    <row r="2" spans="1:8">
      <c r="B2" s="595" t="s">
        <v>236</v>
      </c>
      <c r="C2" s="595"/>
      <c r="D2" s="595"/>
      <c r="E2" s="595"/>
      <c r="F2" s="595"/>
      <c r="G2" s="595"/>
      <c r="H2" s="595"/>
    </row>
    <row r="3" spans="1:8" s="83" customFormat="1">
      <c r="B3" s="595" t="s">
        <v>78</v>
      </c>
      <c r="C3" s="595"/>
      <c r="D3" s="595"/>
      <c r="E3" s="595"/>
      <c r="F3" s="595"/>
      <c r="G3" s="595"/>
      <c r="H3" s="595"/>
    </row>
    <row r="4" spans="1:8">
      <c r="B4" s="551"/>
      <c r="C4" s="551"/>
      <c r="D4" s="551"/>
      <c r="E4" s="551"/>
      <c r="F4" s="551"/>
      <c r="G4" s="557"/>
      <c r="H4" s="557"/>
    </row>
    <row r="5" spans="1:8">
      <c r="B5" s="72"/>
      <c r="C5" s="72"/>
      <c r="D5" s="72"/>
      <c r="E5" s="72"/>
      <c r="G5" s="72"/>
    </row>
    <row r="6" spans="1:8">
      <c r="A6" s="83"/>
      <c r="B6" s="552"/>
      <c r="C6" s="553"/>
      <c r="D6" s="594" t="s">
        <v>265</v>
      </c>
      <c r="E6" s="594"/>
      <c r="F6" s="594"/>
      <c r="G6" s="594"/>
      <c r="H6" s="594"/>
    </row>
    <row r="7" spans="1:8" ht="12.75" thickBot="1">
      <c r="B7" s="394"/>
      <c r="C7" s="550"/>
      <c r="D7" s="554">
        <v>2011</v>
      </c>
      <c r="E7" s="550"/>
      <c r="F7" s="554">
        <v>2010</v>
      </c>
      <c r="G7" s="556"/>
      <c r="H7" s="554">
        <v>2009</v>
      </c>
    </row>
    <row r="8" spans="1:8">
      <c r="B8" s="395" t="s">
        <v>237</v>
      </c>
      <c r="C8" s="393"/>
      <c r="D8" s="407"/>
      <c r="E8" s="393"/>
      <c r="F8" s="407"/>
      <c r="G8" s="393"/>
      <c r="H8" s="407"/>
    </row>
    <row r="9" spans="1:8">
      <c r="B9" s="397" t="s">
        <v>238</v>
      </c>
      <c r="C9" s="393"/>
      <c r="D9" s="408">
        <v>952</v>
      </c>
      <c r="E9" s="393"/>
      <c r="F9" s="408">
        <v>1376</v>
      </c>
      <c r="G9" s="393"/>
      <c r="H9" s="408">
        <v>1183</v>
      </c>
    </row>
    <row r="10" spans="1:8">
      <c r="B10" s="397" t="s">
        <v>239</v>
      </c>
      <c r="C10" s="393"/>
      <c r="D10" s="408">
        <v>72</v>
      </c>
      <c r="E10" s="393"/>
      <c r="F10" s="408">
        <v>97</v>
      </c>
      <c r="G10" s="393"/>
      <c r="H10" s="408">
        <v>69</v>
      </c>
    </row>
    <row r="11" spans="1:8">
      <c r="B11" s="397" t="s">
        <v>266</v>
      </c>
      <c r="C11" s="393"/>
      <c r="D11" s="78">
        <f>D9-D10</f>
        <v>880</v>
      </c>
      <c r="E11" s="393"/>
      <c r="F11" s="78">
        <f>F9-F10</f>
        <v>1279</v>
      </c>
      <c r="G11" s="393"/>
      <c r="H11" s="78">
        <f>H9-H10</f>
        <v>1114</v>
      </c>
    </row>
    <row r="13" spans="1:8">
      <c r="B13" s="71" t="s">
        <v>267</v>
      </c>
    </row>
  </sheetData>
  <mergeCells count="4">
    <mergeCell ref="D6:H6"/>
    <mergeCell ref="B1:H1"/>
    <mergeCell ref="B2:H2"/>
    <mergeCell ref="B3:H3"/>
  </mergeCells>
  <pageMargins left="0.7" right="0.7" top="0.25" bottom="0.44" header="0.3" footer="0.3"/>
  <pageSetup orientation="portrait" r:id="rId1"/>
  <headerFooter>
    <oddFooter>&amp;LActivision Blizzard, Inc.&amp;R&amp;P of &amp; 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888A179F-0915-4EA1-B8FE-9C11ACF31CC0}">
  <ds:schemaRefs>
    <ds:schemaRef ds:uri="http://purl.org/dc/terms/"/>
    <ds:schemaRef ds:uri="http://schemas.microsoft.com/office/2006/metadata/properties"/>
    <ds:schemaRef ds:uri="http://purl.org/dc/elements/1.1/"/>
    <ds:schemaRef ds:uri="64b9f78e-1638-4d50-90be-e6eae294b66a"/>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Non-GAAP Financial Measures</vt:lpstr>
      <vt:lpstr>QTD P&amp;L</vt:lpstr>
      <vt:lpstr>TTM P&amp;L</vt:lpstr>
      <vt:lpstr>NR and OI by Segment</vt:lpstr>
      <vt:lpstr>Rev Mix by Geographic Region</vt:lpstr>
      <vt:lpstr>Rev Mix by Platform</vt:lpstr>
      <vt:lpstr>Rev Mix by Distribution</vt:lpstr>
      <vt:lpstr>Balance Sheet</vt:lpstr>
      <vt:lpstr>Cashflow Supplemental</vt:lpstr>
      <vt:lpstr>Cashflow YE</vt:lpstr>
      <vt:lpstr>GAAP to Non-GAAP Measures 2012</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'GAAP to Non-GAAP Measures 2008'!Print_Area</vt:lpstr>
      <vt:lpstr>'GAAP to Non-GAAP Measures 2009'!Print_Area</vt:lpstr>
      <vt:lpstr>'GAAP to Non-GAAP Measures 2010'!Print_Area</vt:lpstr>
      <vt:lpstr>'GAAP to Non-GAAP Measures 2011'!Print_Area</vt:lpstr>
      <vt:lpstr>'GAAP to Non-GAAP Measures 2012'!Print_Area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Triefenbach, Jeremy</dc:creator>
  <cp:lastModifiedBy>Triefenbach, Jeremy</cp:lastModifiedBy>
  <cp:lastPrinted>2012-05-09T16:22:53Z</cp:lastPrinted>
  <dcterms:created xsi:type="dcterms:W3CDTF">2010-07-21T13:25:15Z</dcterms:created>
  <dcterms:modified xsi:type="dcterms:W3CDTF">2012-05-09T16:23:23Z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