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195" windowWidth="15300" windowHeight="7890" tabRatio="892" activeTab="1"/>
  </bookViews>
  <sheets>
    <sheet name="Non-GAAP Financial Measures" sheetId="51" r:id="rId1"/>
    <sheet name="QTD P&amp;L" sheetId="57" r:id="rId2"/>
    <sheet name="TTM P&amp;L" sheetId="78" r:id="rId3"/>
    <sheet name="NR and OI by Segment" sheetId="61" r:id="rId4"/>
    <sheet name="Rev Mix by Geographic Region" sheetId="62" r:id="rId5"/>
    <sheet name="Rev Mix by Platform" sheetId="63" r:id="rId6"/>
    <sheet name="Rev Mix by Distribution" sheetId="76" r:id="rId7"/>
    <sheet name="Balance Sheet" sheetId="59" r:id="rId8"/>
    <sheet name="Cashflow Supplemental" sheetId="81" r:id="rId9"/>
    <sheet name="Cashflow YE" sheetId="75" r:id="rId10"/>
    <sheet name="GAAP to Non-GAAP Measures 2012" sheetId="82" r:id="rId11"/>
    <sheet name="GAAP to Non-GAAP Measures 2011" sheetId="64" r:id="rId12"/>
    <sheet name="GAAP to Non-GAAP Measures 2010" sheetId="65" r:id="rId13"/>
    <sheet name="GAAP to Non-GAAP Measures 2009" sheetId="72" r:id="rId14"/>
    <sheet name="GAAP to Non-GAAP Measures 2008" sheetId="83" r:id="rId15"/>
  </sheets>
  <definedNames>
    <definedName name="EssLatest" localSheetId="14">"BegBalance"</definedName>
    <definedName name="EssLatest" localSheetId="13">"BegBalance"</definedName>
    <definedName name="EssOptions" localSheetId="14">"A2100001100110000011001100020_01000"</definedName>
    <definedName name="EssOptions" localSheetId="13">"A2100001100110000011001100020_01000"</definedName>
    <definedName name="EssSamplingValue" localSheetId="14">100</definedName>
    <definedName name="EssSamplingValue" localSheetId="13">100</definedName>
    <definedName name="GAAP_nonGAAPreconCY" localSheetId="12">'GAAP to Non-GAAP Measures 2010'!#REF!</definedName>
    <definedName name="GAAP_nonGAAPreconCY" localSheetId="10">'GAAP to Non-GAAP Measures 2012'!#REF!</definedName>
    <definedName name="GAAP_nonGAAPreconCY">'GAAP to Non-GAAP Measures 2011'!$B$6:$N$22</definedName>
    <definedName name="GAAP_nonGAAPreconCYQTR" localSheetId="12">'GAAP to Non-GAAP Measures 2010'!#REF!</definedName>
    <definedName name="GAAP_nonGAAPreconCYQTR" localSheetId="10">'GAAP to Non-GAAP Measures 2012'!#REF!</definedName>
    <definedName name="GAAP_nonGAAPreconCYQTR">'GAAP to Non-GAAP Measures 2011'!$B$6:$N$22</definedName>
    <definedName name="GAAP_NONGAAPreconPY" localSheetId="8">#REF!</definedName>
    <definedName name="GAAP_NONGAAPreconPY" localSheetId="12">#REF!</definedName>
    <definedName name="GAAP_NONGAAPreconPY" localSheetId="10">#REF!</definedName>
    <definedName name="GAAP_NONGAAPreconPY">#REF!</definedName>
    <definedName name="GAAP_NONGAAPreconPYQTR" localSheetId="8">#REF!</definedName>
    <definedName name="GAAP_NONGAAPreconPYQTR" localSheetId="12">#REF!</definedName>
    <definedName name="GAAP_NONGAAPreconPYQTR" localSheetId="10">#REF!</definedName>
    <definedName name="GAAP_NONGAAPreconPYQTR">#REF!</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40841.8986111111</definedName>
    <definedName name="IQ_NTM" hidden="1">6000</definedName>
    <definedName name="IQ_TODAY" hidden="1">0</definedName>
    <definedName name="IQ_WEEK" hidden="1">50000</definedName>
    <definedName name="IQ_YTD" hidden="1">3000</definedName>
    <definedName name="IQ_YTDMONTH" hidden="1">130000</definedName>
    <definedName name="PR_PlatformYTD" localSheetId="8">#REF!</definedName>
    <definedName name="PR_PlatformYTD" localSheetId="12">#REF!</definedName>
    <definedName name="PR_PlatformYTD" localSheetId="10">#REF!</definedName>
    <definedName name="PR_PlatformYTD">#REF!</definedName>
    <definedName name="_xlnm.Print_Area" localSheetId="7">'Balance Sheet'!$A$1:$U$50</definedName>
    <definedName name="_xlnm.Print_Area" localSheetId="8">'Cashflow Supplemental'!$A$1:$J$14</definedName>
    <definedName name="_xlnm.Print_Area" localSheetId="14">'GAAP to Non-GAAP Measures 2008'!$B$1:$N$54</definedName>
    <definedName name="_xlnm.Print_Area" localSheetId="13">'GAAP to Non-GAAP Measures 2009'!$B$1:$O$95</definedName>
    <definedName name="_xlnm.Print_Area" localSheetId="12">'GAAP to Non-GAAP Measures 2010'!$B$1:$N$89</definedName>
    <definedName name="_xlnm.Print_Area" localSheetId="11">'GAAP to Non-GAAP Measures 2011'!$B$1:$N$86</definedName>
    <definedName name="_xlnm.Print_Area" localSheetId="10">'GAAP to Non-GAAP Measures 2012'!$B$1:$N$74</definedName>
    <definedName name="_xlnm.Print_Area" localSheetId="0">'Non-GAAP Financial Measures'!$A$1:$R$27</definedName>
    <definedName name="_xlnm.Print_Area" localSheetId="3">'NR and OI by Segment'!$B$1:$W$45</definedName>
    <definedName name="_xlnm.Print_Area" localSheetId="1">'QTD P&amp;L'!$A$1:$W$100</definedName>
    <definedName name="_xlnm.Print_Area" localSheetId="6">'Rev Mix by Distribution'!$A$1:$T$35</definedName>
    <definedName name="_xlnm.Print_Area" localSheetId="4">'Rev Mix by Geographic Region'!$B$1:$W$36</definedName>
    <definedName name="_xlnm.Print_Area" localSheetId="2">'TTM P&amp;L'!$A$1:$T$105</definedName>
    <definedName name="_xlnm.Print_Titles" localSheetId="12">'GAAP to Non-GAAP Measures 2010'!$1:$5</definedName>
    <definedName name="_xlnm.Print_Titles" localSheetId="11">'GAAP to Non-GAAP Measures 2011'!$1:$5</definedName>
    <definedName name="_xlnm.Print_Titles" localSheetId="1">'QTD P&amp;L'!$1:$3</definedName>
    <definedName name="_xlnm.Print_Titles" localSheetId="2">'TTM P&amp;L'!$1:$3</definedName>
  </definedNames>
  <calcPr calcId="145621"/>
</workbook>
</file>

<file path=xl/calcChain.xml><?xml version="1.0" encoding="utf-8"?>
<calcChain xmlns="http://schemas.openxmlformats.org/spreadsheetml/2006/main">
  <c r="D10" i="81" l="1"/>
  <c r="J11" i="81"/>
  <c r="H11" i="81"/>
  <c r="F11" i="81"/>
  <c r="J39" i="82"/>
  <c r="G39" i="82"/>
  <c r="J23" i="82"/>
  <c r="G23" i="82"/>
  <c r="J7" i="82"/>
  <c r="G7" i="82"/>
  <c r="J43" i="64"/>
  <c r="G43" i="64"/>
  <c r="J25" i="64"/>
  <c r="G25" i="64"/>
  <c r="J7" i="64"/>
  <c r="G7" i="64"/>
  <c r="J62" i="65"/>
  <c r="G62" i="65"/>
  <c r="J45" i="65"/>
  <c r="G45" i="65"/>
  <c r="J26" i="65"/>
  <c r="G26" i="65"/>
  <c r="J7" i="65"/>
  <c r="G7" i="65"/>
  <c r="U67" i="57"/>
  <c r="U64" i="57"/>
  <c r="U15" i="57"/>
  <c r="U12" i="57"/>
  <c r="T67" i="57"/>
  <c r="T64" i="57"/>
  <c r="T15" i="57"/>
  <c r="T12" i="57"/>
  <c r="S67" i="57"/>
  <c r="S64" i="57"/>
  <c r="S15" i="57"/>
  <c r="S12" i="57"/>
  <c r="O71" i="78"/>
  <c r="O68" i="78"/>
  <c r="O16" i="78"/>
  <c r="O13" i="78"/>
  <c r="R67" i="57"/>
  <c r="R64" i="57"/>
  <c r="R15" i="57"/>
  <c r="R12" i="57"/>
  <c r="Q67" i="57"/>
  <c r="Q64" i="57"/>
  <c r="Q15" i="57"/>
  <c r="Q12" i="57"/>
  <c r="P67" i="57"/>
  <c r="P64" i="57"/>
  <c r="P15" i="57"/>
  <c r="P12" i="57"/>
  <c r="O67" i="57"/>
  <c r="O64" i="57"/>
  <c r="O15" i="57"/>
  <c r="O12" i="57"/>
  <c r="K71" i="78"/>
  <c r="K68" i="78"/>
  <c r="K16" i="78"/>
  <c r="K13" i="78"/>
  <c r="N67" i="57"/>
  <c r="N64" i="57"/>
  <c r="N15" i="57"/>
  <c r="N12" i="57"/>
  <c r="M67" i="57"/>
  <c r="M64" i="57"/>
  <c r="M15" i="57"/>
  <c r="M12" i="57"/>
  <c r="L67" i="57"/>
  <c r="L64" i="57"/>
  <c r="L15" i="57"/>
  <c r="L12" i="57"/>
  <c r="K67" i="57"/>
  <c r="K64" i="57"/>
  <c r="K15" i="57"/>
  <c r="K12" i="57"/>
  <c r="S68" i="78" l="1"/>
  <c r="S71" i="78"/>
  <c r="S16" i="78"/>
  <c r="S13" i="78"/>
  <c r="V67" i="57"/>
  <c r="V64" i="57"/>
  <c r="V15" i="57"/>
  <c r="V12" i="57"/>
  <c r="F67" i="82" l="1"/>
  <c r="B62" i="82"/>
  <c r="L59" i="82"/>
  <c r="K59" i="82"/>
  <c r="J59" i="82"/>
  <c r="I59" i="82"/>
  <c r="H59" i="82"/>
  <c r="G59" i="82"/>
  <c r="F59" i="82"/>
  <c r="E59" i="82"/>
  <c r="M58" i="82"/>
  <c r="E66" i="82" s="1"/>
  <c r="M57" i="82"/>
  <c r="E65" i="82" s="1"/>
  <c r="M56" i="82"/>
  <c r="E64" i="82" s="1"/>
  <c r="M55" i="82"/>
  <c r="E63" i="82" s="1"/>
  <c r="F48" i="75"/>
  <c r="F39" i="75"/>
  <c r="F27" i="75"/>
  <c r="D9" i="81" s="1"/>
  <c r="D11" i="81" s="1"/>
  <c r="T48" i="59"/>
  <c r="T37" i="59"/>
  <c r="T41" i="59" s="1"/>
  <c r="T18" i="59"/>
  <c r="T29" i="59" s="1"/>
  <c r="S24" i="76"/>
  <c r="S27" i="76" s="1"/>
  <c r="S18" i="76"/>
  <c r="S17" i="76"/>
  <c r="S11" i="76"/>
  <c r="S14" i="76" s="1"/>
  <c r="V53" i="63"/>
  <c r="V50" i="63"/>
  <c r="V40" i="63"/>
  <c r="V37" i="63"/>
  <c r="V35" i="63"/>
  <c r="V34" i="63"/>
  <c r="V33" i="63"/>
  <c r="V32" i="63"/>
  <c r="V31" i="63"/>
  <c r="V19" i="63"/>
  <c r="V16" i="63"/>
  <c r="V29" i="62"/>
  <c r="V23" i="62"/>
  <c r="V20" i="62"/>
  <c r="V19" i="62"/>
  <c r="V18" i="62"/>
  <c r="V15" i="62"/>
  <c r="V12" i="62"/>
  <c r="V23" i="61"/>
  <c r="V33" i="61" s="1"/>
  <c r="V12" i="61"/>
  <c r="V17" i="61" s="1"/>
  <c r="S63" i="78"/>
  <c r="S88" i="78" s="1"/>
  <c r="S62" i="78"/>
  <c r="S87" i="78" s="1"/>
  <c r="S61" i="78"/>
  <c r="S86" i="78" s="1"/>
  <c r="S38" i="78"/>
  <c r="S37" i="78"/>
  <c r="S20" i="78"/>
  <c r="S19" i="78"/>
  <c r="S44" i="78"/>
  <c r="S42" i="78"/>
  <c r="V97" i="57"/>
  <c r="V95" i="57"/>
  <c r="V92" i="57"/>
  <c r="V91" i="57"/>
  <c r="V90" i="57"/>
  <c r="V89" i="57"/>
  <c r="V88" i="57"/>
  <c r="V87" i="57"/>
  <c r="V86" i="57"/>
  <c r="V70" i="57"/>
  <c r="V93" i="57" s="1"/>
  <c r="V59" i="57"/>
  <c r="V83" i="57" s="1"/>
  <c r="V58" i="57"/>
  <c r="V82" i="57" s="1"/>
  <c r="V53" i="57"/>
  <c r="V51" i="57"/>
  <c r="V48" i="57"/>
  <c r="V47" i="57"/>
  <c r="V46" i="57"/>
  <c r="V45" i="57"/>
  <c r="V44" i="57"/>
  <c r="V43" i="57"/>
  <c r="V42" i="57"/>
  <c r="V41" i="57"/>
  <c r="V40" i="57"/>
  <c r="V37" i="57"/>
  <c r="V36" i="57"/>
  <c r="V20" i="57"/>
  <c r="V49" i="57" s="1"/>
  <c r="G33" i="63"/>
  <c r="R76" i="78"/>
  <c r="R73" i="78"/>
  <c r="R72" i="78"/>
  <c r="R71" i="78"/>
  <c r="R70" i="78"/>
  <c r="R69" i="78"/>
  <c r="R68" i="78"/>
  <c r="R67" i="78"/>
  <c r="R65" i="78"/>
  <c r="U97" i="57"/>
  <c r="U95" i="57"/>
  <c r="U92" i="57"/>
  <c r="U91" i="57"/>
  <c r="U90" i="57"/>
  <c r="U89" i="57"/>
  <c r="U88" i="57"/>
  <c r="U87" i="57"/>
  <c r="U86" i="57"/>
  <c r="U53" i="57"/>
  <c r="U51" i="57"/>
  <c r="U48" i="57"/>
  <c r="U47" i="57"/>
  <c r="U46" i="57"/>
  <c r="U45" i="57"/>
  <c r="U44" i="57"/>
  <c r="U43" i="57"/>
  <c r="U42" i="57"/>
  <c r="U41" i="57"/>
  <c r="U40" i="57"/>
  <c r="R74" i="78" l="1"/>
  <c r="S19" i="76"/>
  <c r="S74" i="78"/>
  <c r="S98" i="78" s="1"/>
  <c r="S92" i="78"/>
  <c r="S94" i="78"/>
  <c r="S96" i="78"/>
  <c r="S100" i="78"/>
  <c r="S93" i="78"/>
  <c r="S95" i="78"/>
  <c r="S97" i="78"/>
  <c r="S102" i="78"/>
  <c r="S46" i="78"/>
  <c r="S48" i="78"/>
  <c r="S50" i="78"/>
  <c r="S55" i="78"/>
  <c r="S43" i="78"/>
  <c r="S45" i="78"/>
  <c r="S47" i="78"/>
  <c r="S49" i="78"/>
  <c r="S53" i="78"/>
  <c r="E67" i="82"/>
  <c r="M59" i="82"/>
  <c r="F52" i="75"/>
  <c r="T50" i="59"/>
  <c r="V54" i="63"/>
  <c r="V57" i="63" s="1"/>
  <c r="V36" i="63"/>
  <c r="V38" i="63" s="1"/>
  <c r="V20" i="63"/>
  <c r="V24" i="63" s="1"/>
  <c r="V27" i="63" s="1"/>
  <c r="V21" i="62"/>
  <c r="V35" i="61"/>
  <c r="S75" i="78"/>
  <c r="S91" i="78"/>
  <c r="S21" i="78"/>
  <c r="S51" i="78" s="1"/>
  <c r="R93" i="78"/>
  <c r="R95" i="78"/>
  <c r="R97" i="78"/>
  <c r="R92" i="78"/>
  <c r="R94" i="78"/>
  <c r="R96" i="78"/>
  <c r="R100" i="78"/>
  <c r="V21" i="57"/>
  <c r="V71" i="57"/>
  <c r="R98" i="78"/>
  <c r="R75" i="78"/>
  <c r="R91" i="78"/>
  <c r="F51" i="82"/>
  <c r="B46" i="82"/>
  <c r="L43" i="82"/>
  <c r="K43" i="82"/>
  <c r="J43" i="82"/>
  <c r="I43" i="82"/>
  <c r="H43" i="82"/>
  <c r="G43" i="82"/>
  <c r="F43" i="82"/>
  <c r="E43" i="82"/>
  <c r="M42" i="82"/>
  <c r="E50" i="82" s="1"/>
  <c r="M41" i="82"/>
  <c r="E49" i="82" s="1"/>
  <c r="M40" i="82"/>
  <c r="E48" i="82" s="1"/>
  <c r="M39" i="82"/>
  <c r="E47" i="82" s="1"/>
  <c r="S48" i="59"/>
  <c r="S37" i="59"/>
  <c r="S41" i="59" s="1"/>
  <c r="S18" i="59"/>
  <c r="S29" i="59" s="1"/>
  <c r="R24" i="76"/>
  <c r="R27" i="76" s="1"/>
  <c r="R18" i="76"/>
  <c r="R17" i="76"/>
  <c r="R11" i="76"/>
  <c r="R14" i="76" s="1"/>
  <c r="U53" i="63"/>
  <c r="U50" i="63"/>
  <c r="U40" i="63"/>
  <c r="U37" i="63"/>
  <c r="U35" i="63"/>
  <c r="U34" i="63"/>
  <c r="U33" i="63"/>
  <c r="U32" i="63"/>
  <c r="U31" i="63"/>
  <c r="U19" i="63"/>
  <c r="U16" i="63"/>
  <c r="U29" i="62"/>
  <c r="U23" i="62"/>
  <c r="U20" i="62"/>
  <c r="U19" i="62"/>
  <c r="U18" i="62"/>
  <c r="U15" i="62"/>
  <c r="U12" i="62"/>
  <c r="U23" i="61"/>
  <c r="U33" i="61" s="1"/>
  <c r="U12" i="61"/>
  <c r="U17" i="61" s="1"/>
  <c r="R83" i="78"/>
  <c r="R82" i="78"/>
  <c r="R78" i="78"/>
  <c r="R102" i="78" s="1"/>
  <c r="R63" i="78"/>
  <c r="R88" i="78" s="1"/>
  <c r="R62" i="78"/>
  <c r="R87" i="78" s="1"/>
  <c r="R61" i="78"/>
  <c r="R86" i="78" s="1"/>
  <c r="R38" i="78"/>
  <c r="R37" i="78"/>
  <c r="R34" i="78"/>
  <c r="R33" i="78"/>
  <c r="R30" i="78"/>
  <c r="R29" i="78"/>
  <c r="R25" i="78"/>
  <c r="R23" i="78"/>
  <c r="R20" i="78"/>
  <c r="R16" i="78"/>
  <c r="R15" i="78"/>
  <c r="R14" i="78"/>
  <c r="R13" i="78"/>
  <c r="R12" i="78"/>
  <c r="R10" i="78"/>
  <c r="U70" i="57"/>
  <c r="U93" i="57" s="1"/>
  <c r="U59" i="57"/>
  <c r="U83" i="57" s="1"/>
  <c r="U58" i="57"/>
  <c r="U82" i="57" s="1"/>
  <c r="U37" i="57"/>
  <c r="U36" i="57"/>
  <c r="U20" i="57"/>
  <c r="U49" i="57" s="1"/>
  <c r="F35" i="82"/>
  <c r="B30" i="82"/>
  <c r="L27" i="82"/>
  <c r="K27" i="82"/>
  <c r="J27" i="82"/>
  <c r="I27" i="82"/>
  <c r="H27" i="82"/>
  <c r="G27" i="82"/>
  <c r="F27" i="82"/>
  <c r="E27" i="82"/>
  <c r="M26" i="82"/>
  <c r="E34" i="82" s="1"/>
  <c r="M25" i="82"/>
  <c r="E33" i="82" s="1"/>
  <c r="M24" i="82"/>
  <c r="E32" i="82" s="1"/>
  <c r="M23" i="82"/>
  <c r="E31" i="82" s="1"/>
  <c r="R48" i="59"/>
  <c r="R37" i="59"/>
  <c r="R41" i="59" s="1"/>
  <c r="R18" i="59"/>
  <c r="R29" i="59" s="1"/>
  <c r="Q24" i="76"/>
  <c r="Q27" i="76" s="1"/>
  <c r="Q18" i="76"/>
  <c r="Q17" i="76"/>
  <c r="Q11" i="76"/>
  <c r="Q14" i="76" s="1"/>
  <c r="T53" i="63"/>
  <c r="T50" i="63"/>
  <c r="T40" i="63"/>
  <c r="T37" i="63"/>
  <c r="T35" i="63"/>
  <c r="T34" i="63"/>
  <c r="T33" i="63"/>
  <c r="T32" i="63"/>
  <c r="T31" i="63"/>
  <c r="T19" i="63"/>
  <c r="T16" i="63"/>
  <c r="T29" i="62"/>
  <c r="T23" i="62"/>
  <c r="T20" i="62"/>
  <c r="T19" i="62"/>
  <c r="T18" i="62"/>
  <c r="T15" i="62"/>
  <c r="T12" i="62"/>
  <c r="T23" i="61"/>
  <c r="T33" i="61" s="1"/>
  <c r="T12" i="61"/>
  <c r="T17" i="61" s="1"/>
  <c r="Q83" i="78"/>
  <c r="Q82" i="78"/>
  <c r="Q78" i="78"/>
  <c r="Q76" i="78"/>
  <c r="Q73" i="78"/>
  <c r="Q72" i="78"/>
  <c r="Q71" i="78"/>
  <c r="Q70" i="78"/>
  <c r="Q69" i="78"/>
  <c r="Q68" i="78"/>
  <c r="Q67" i="78"/>
  <c r="Q65" i="78"/>
  <c r="Q63" i="78"/>
  <c r="Q88" i="78" s="1"/>
  <c r="Q62" i="78"/>
  <c r="Q87" i="78" s="1"/>
  <c r="Q61" i="78"/>
  <c r="Q86" i="78" s="1"/>
  <c r="Q38" i="78"/>
  <c r="Q37" i="78"/>
  <c r="Q34" i="78"/>
  <c r="Q33" i="78"/>
  <c r="Q30" i="78"/>
  <c r="Q29" i="78"/>
  <c r="Q25" i="78"/>
  <c r="Q23" i="78"/>
  <c r="Q20" i="78"/>
  <c r="Q16" i="78"/>
  <c r="Q15" i="78"/>
  <c r="Q14" i="78"/>
  <c r="Q13" i="78"/>
  <c r="Q12" i="78"/>
  <c r="Q10" i="78"/>
  <c r="T97" i="57"/>
  <c r="T95" i="57"/>
  <c r="T92" i="57"/>
  <c r="T91" i="57"/>
  <c r="T90" i="57"/>
  <c r="T89" i="57"/>
  <c r="T88" i="57"/>
  <c r="T87" i="57"/>
  <c r="T86" i="57"/>
  <c r="T70" i="57"/>
  <c r="T93" i="57" s="1"/>
  <c r="T59" i="57"/>
  <c r="T83" i="57" s="1"/>
  <c r="T58" i="57"/>
  <c r="T82" i="57" s="1"/>
  <c r="T53" i="57"/>
  <c r="T51" i="57"/>
  <c r="T48" i="57"/>
  <c r="T47" i="57"/>
  <c r="T46" i="57"/>
  <c r="T45" i="57"/>
  <c r="T44" i="57"/>
  <c r="T43" i="57"/>
  <c r="T42" i="57"/>
  <c r="T41" i="57"/>
  <c r="T40" i="57"/>
  <c r="T37" i="57"/>
  <c r="T36" i="57"/>
  <c r="T20" i="57"/>
  <c r="T49" i="57" s="1"/>
  <c r="S22" i="78" l="1"/>
  <c r="S99" i="78"/>
  <c r="S77" i="78"/>
  <c r="Q42" i="78"/>
  <c r="V50" i="57"/>
  <c r="V23" i="57"/>
  <c r="V94" i="57"/>
  <c r="V73" i="57"/>
  <c r="R42" i="78"/>
  <c r="R44" i="78"/>
  <c r="R46" i="78"/>
  <c r="R50" i="78"/>
  <c r="R55" i="78"/>
  <c r="R99" i="78"/>
  <c r="R77" i="78"/>
  <c r="R43" i="78"/>
  <c r="R45" i="78"/>
  <c r="R53" i="78"/>
  <c r="E51" i="82"/>
  <c r="R19" i="76"/>
  <c r="U54" i="63"/>
  <c r="U57" i="63" s="1"/>
  <c r="U21" i="62"/>
  <c r="M43" i="82"/>
  <c r="S50" i="59"/>
  <c r="U36" i="63"/>
  <c r="U38" i="63" s="1"/>
  <c r="U20" i="63"/>
  <c r="U24" i="63" s="1"/>
  <c r="U27" i="63" s="1"/>
  <c r="U35" i="61"/>
  <c r="U21" i="57"/>
  <c r="U71" i="57"/>
  <c r="U94" i="57" s="1"/>
  <c r="Q44" i="78"/>
  <c r="Q46" i="78"/>
  <c r="Q50" i="78"/>
  <c r="Q55" i="78"/>
  <c r="Q43" i="78"/>
  <c r="Q45" i="78"/>
  <c r="Q53" i="78"/>
  <c r="E35" i="82"/>
  <c r="Q19" i="76"/>
  <c r="Q74" i="78"/>
  <c r="Q75" i="78" s="1"/>
  <c r="Q93" i="78"/>
  <c r="Q95" i="78"/>
  <c r="Q97" i="78"/>
  <c r="Q102" i="78"/>
  <c r="Q92" i="78"/>
  <c r="Q94" i="78"/>
  <c r="Q96" i="78"/>
  <c r="Q100" i="78"/>
  <c r="M27" i="82"/>
  <c r="R50" i="59"/>
  <c r="T54" i="63"/>
  <c r="T57" i="63" s="1"/>
  <c r="T36" i="63"/>
  <c r="T38" i="63" s="1"/>
  <c r="T20" i="63"/>
  <c r="T24" i="63" s="1"/>
  <c r="T27" i="63" s="1"/>
  <c r="T21" i="62"/>
  <c r="T35" i="61"/>
  <c r="Q91" i="78"/>
  <c r="T21" i="57"/>
  <c r="T71" i="57"/>
  <c r="P12" i="78"/>
  <c r="P10" i="78"/>
  <c r="S97" i="57"/>
  <c r="S95" i="57"/>
  <c r="S92" i="57"/>
  <c r="S91" i="57"/>
  <c r="S90" i="57"/>
  <c r="S89" i="57"/>
  <c r="S88" i="57"/>
  <c r="S87" i="57"/>
  <c r="S86" i="57"/>
  <c r="S53" i="57"/>
  <c r="S51" i="57"/>
  <c r="S48" i="57"/>
  <c r="S47" i="57"/>
  <c r="S46" i="57"/>
  <c r="S45" i="57"/>
  <c r="S44" i="57"/>
  <c r="S43" i="57"/>
  <c r="S42" i="57"/>
  <c r="S41" i="57"/>
  <c r="S40" i="57"/>
  <c r="S101" i="78" l="1"/>
  <c r="S79" i="78"/>
  <c r="S103" i="78" s="1"/>
  <c r="S52" i="78"/>
  <c r="S24" i="78"/>
  <c r="V75" i="57"/>
  <c r="V98" i="57" s="1"/>
  <c r="V96" i="57"/>
  <c r="V52" i="57"/>
  <c r="V25" i="57"/>
  <c r="V54" i="57" s="1"/>
  <c r="R79" i="78"/>
  <c r="R103" i="78" s="1"/>
  <c r="R101" i="78"/>
  <c r="U50" i="57"/>
  <c r="U23" i="57"/>
  <c r="U52" i="57" s="1"/>
  <c r="U73" i="57"/>
  <c r="U96" i="57" s="1"/>
  <c r="P42" i="78"/>
  <c r="Q98" i="78"/>
  <c r="Q99" i="78"/>
  <c r="Q77" i="78"/>
  <c r="Q101" i="78" s="1"/>
  <c r="T50" i="57"/>
  <c r="T23" i="57"/>
  <c r="T94" i="57"/>
  <c r="T73" i="57"/>
  <c r="P34" i="78"/>
  <c r="P33" i="78"/>
  <c r="P30" i="78"/>
  <c r="P29" i="78"/>
  <c r="P25" i="78"/>
  <c r="P55" i="78" s="1"/>
  <c r="P23" i="78"/>
  <c r="P53" i="78" s="1"/>
  <c r="K7" i="64"/>
  <c r="L7" i="64"/>
  <c r="O68" i="57"/>
  <c r="O69" i="57"/>
  <c r="O17" i="57"/>
  <c r="O16" i="57"/>
  <c r="S20" i="62"/>
  <c r="S19" i="62"/>
  <c r="S18" i="62"/>
  <c r="F19" i="82"/>
  <c r="B14" i="82"/>
  <c r="L11" i="82"/>
  <c r="K11" i="82"/>
  <c r="J11" i="82"/>
  <c r="I11" i="82"/>
  <c r="H11" i="82"/>
  <c r="G11" i="82"/>
  <c r="F11" i="82"/>
  <c r="E11" i="82"/>
  <c r="M10" i="82"/>
  <c r="E18" i="82" s="1"/>
  <c r="M9" i="82"/>
  <c r="E17" i="82" s="1"/>
  <c r="M8" i="82"/>
  <c r="E16" i="82" s="1"/>
  <c r="M7" i="82"/>
  <c r="E15" i="82" s="1"/>
  <c r="P24" i="76"/>
  <c r="P27" i="76" s="1"/>
  <c r="P18" i="76"/>
  <c r="P17" i="76"/>
  <c r="P11" i="76"/>
  <c r="P14" i="76" s="1"/>
  <c r="P19" i="76" l="1"/>
  <c r="S54" i="78"/>
  <c r="S26" i="78"/>
  <c r="S56" i="78" s="1"/>
  <c r="U75" i="57"/>
  <c r="U98" i="57" s="1"/>
  <c r="U25" i="57"/>
  <c r="U54" i="57" s="1"/>
  <c r="Q79" i="78"/>
  <c r="Q103" i="78" s="1"/>
  <c r="T75" i="57"/>
  <c r="T98" i="57" s="1"/>
  <c r="T96" i="57"/>
  <c r="T52" i="57"/>
  <c r="T25" i="57"/>
  <c r="T54" i="57" s="1"/>
  <c r="E19" i="82"/>
  <c r="M11" i="82"/>
  <c r="S53" i="63"/>
  <c r="S50" i="63"/>
  <c r="S40" i="63"/>
  <c r="S37" i="63"/>
  <c r="S35" i="63"/>
  <c r="S34" i="63"/>
  <c r="S33" i="63"/>
  <c r="S32" i="63"/>
  <c r="S31" i="63"/>
  <c r="S19" i="63"/>
  <c r="S16" i="63"/>
  <c r="S29" i="62"/>
  <c r="S23" i="62"/>
  <c r="S21" i="62"/>
  <c r="S15" i="62"/>
  <c r="S12" i="62"/>
  <c r="S23" i="61"/>
  <c r="S33" i="61" s="1"/>
  <c r="S12" i="61"/>
  <c r="S17" i="61" s="1"/>
  <c r="Q48" i="59"/>
  <c r="Q37" i="59"/>
  <c r="Q41" i="59" s="1"/>
  <c r="Q18" i="59"/>
  <c r="Q29" i="59" s="1"/>
  <c r="P83" i="78"/>
  <c r="P82" i="78"/>
  <c r="P78" i="78"/>
  <c r="P76" i="78"/>
  <c r="P73" i="78"/>
  <c r="P72" i="78"/>
  <c r="P71" i="78"/>
  <c r="P70" i="78"/>
  <c r="P69" i="78"/>
  <c r="P68" i="78"/>
  <c r="P67" i="78"/>
  <c r="P65" i="78"/>
  <c r="P20" i="78"/>
  <c r="P50" i="78" s="1"/>
  <c r="P16" i="78"/>
  <c r="P46" i="78" s="1"/>
  <c r="P15" i="78"/>
  <c r="P45" i="78" s="1"/>
  <c r="P14" i="78"/>
  <c r="P44" i="78" s="1"/>
  <c r="P13" i="78"/>
  <c r="P43" i="78" s="1"/>
  <c r="E87" i="78"/>
  <c r="F87" i="78"/>
  <c r="G87" i="78"/>
  <c r="H87" i="78"/>
  <c r="I87" i="78"/>
  <c r="J87" i="78"/>
  <c r="K87" i="78"/>
  <c r="L87" i="78"/>
  <c r="P63" i="78"/>
  <c r="P88" i="78" s="1"/>
  <c r="P62" i="78"/>
  <c r="P87" i="78" s="1"/>
  <c r="P61" i="78"/>
  <c r="P86" i="78" s="1"/>
  <c r="P38" i="78"/>
  <c r="P37" i="78"/>
  <c r="S70" i="57"/>
  <c r="S93" i="57" s="1"/>
  <c r="S59" i="57"/>
  <c r="S83" i="57" s="1"/>
  <c r="S58" i="57"/>
  <c r="S82" i="57" s="1"/>
  <c r="S37" i="57"/>
  <c r="S36" i="57"/>
  <c r="S20" i="57"/>
  <c r="S49" i="57" s="1"/>
  <c r="M74" i="57"/>
  <c r="N74" i="57"/>
  <c r="P91" i="78" l="1"/>
  <c r="P93" i="78"/>
  <c r="P96" i="78"/>
  <c r="P102" i="78"/>
  <c r="P74" i="78"/>
  <c r="P75" i="78" s="1"/>
  <c r="P77" i="78" s="1"/>
  <c r="P79" i="78" s="1"/>
  <c r="P92" i="78"/>
  <c r="P94" i="78"/>
  <c r="P100" i="78"/>
  <c r="S54" i="63"/>
  <c r="S57" i="63" s="1"/>
  <c r="S36" i="63"/>
  <c r="S38" i="63" s="1"/>
  <c r="S20" i="63"/>
  <c r="S24" i="63" s="1"/>
  <c r="S27" i="63" s="1"/>
  <c r="S35" i="61"/>
  <c r="Q50" i="59"/>
  <c r="P95" i="78"/>
  <c r="P97" i="78"/>
  <c r="S21" i="57"/>
  <c r="S50" i="57" s="1"/>
  <c r="S71" i="57"/>
  <c r="S94" i="57" s="1"/>
  <c r="L36" i="59"/>
  <c r="L11" i="59"/>
  <c r="K22" i="76"/>
  <c r="K23" i="76"/>
  <c r="I22" i="76"/>
  <c r="I23" i="76"/>
  <c r="H22" i="76"/>
  <c r="H23" i="76"/>
  <c r="R18" i="57"/>
  <c r="R19" i="78" s="1"/>
  <c r="R49" i="78" s="1"/>
  <c r="R17" i="57"/>
  <c r="R18" i="78" s="1"/>
  <c r="R48" i="78" s="1"/>
  <c r="O19" i="78"/>
  <c r="O49" i="78" s="1"/>
  <c r="O18" i="78"/>
  <c r="O48" i="78" s="1"/>
  <c r="K73" i="78"/>
  <c r="K72" i="78"/>
  <c r="K18" i="78"/>
  <c r="K17" i="78"/>
  <c r="N69" i="57"/>
  <c r="N68" i="57"/>
  <c r="N17" i="57"/>
  <c r="N16" i="57"/>
  <c r="N65" i="64"/>
  <c r="E75" i="64" s="1"/>
  <c r="F77" i="64"/>
  <c r="B70" i="64"/>
  <c r="M67" i="64"/>
  <c r="L67" i="64"/>
  <c r="K67" i="64"/>
  <c r="J67" i="64"/>
  <c r="I67" i="64"/>
  <c r="H67" i="64"/>
  <c r="G67" i="64"/>
  <c r="F67" i="64"/>
  <c r="E67" i="64"/>
  <c r="N66" i="64"/>
  <c r="E76" i="64" s="1"/>
  <c r="N64" i="64"/>
  <c r="E74" i="64" s="1"/>
  <c r="N63" i="64"/>
  <c r="E73" i="64" s="1"/>
  <c r="N62" i="64"/>
  <c r="E72" i="64" s="1"/>
  <c r="N61" i="64"/>
  <c r="E71" i="64" s="1"/>
  <c r="I48" i="75"/>
  <c r="H48" i="75"/>
  <c r="G48" i="75"/>
  <c r="I39" i="75"/>
  <c r="H39" i="75"/>
  <c r="G39" i="75"/>
  <c r="I27" i="75"/>
  <c r="H27" i="75"/>
  <c r="G27" i="75"/>
  <c r="O24" i="76"/>
  <c r="O27" i="76" s="1"/>
  <c r="O18" i="76"/>
  <c r="O17" i="76"/>
  <c r="O11" i="76"/>
  <c r="O14" i="76" s="1"/>
  <c r="R53" i="63"/>
  <c r="R50" i="63"/>
  <c r="R40" i="63"/>
  <c r="R37" i="63"/>
  <c r="R35" i="63"/>
  <c r="R34" i="63"/>
  <c r="R33" i="63"/>
  <c r="R32" i="63"/>
  <c r="R31" i="63"/>
  <c r="R19" i="63"/>
  <c r="R16" i="63"/>
  <c r="R29" i="62"/>
  <c r="R23" i="62"/>
  <c r="R20" i="62"/>
  <c r="R19" i="62"/>
  <c r="R18" i="62"/>
  <c r="R15" i="62"/>
  <c r="R12" i="62"/>
  <c r="R23" i="61"/>
  <c r="R33" i="61" s="1"/>
  <c r="R12" i="61"/>
  <c r="R17" i="61" s="1"/>
  <c r="P48" i="59"/>
  <c r="P37" i="59"/>
  <c r="P41" i="59" s="1"/>
  <c r="P18" i="59"/>
  <c r="P29" i="59" s="1"/>
  <c r="O47" i="78"/>
  <c r="O46" i="78"/>
  <c r="O45" i="78"/>
  <c r="O44" i="78"/>
  <c r="O43" i="78"/>
  <c r="O82" i="78"/>
  <c r="O102" i="78"/>
  <c r="O100" i="78"/>
  <c r="O97" i="78"/>
  <c r="O96" i="78"/>
  <c r="O95" i="78"/>
  <c r="O94" i="78"/>
  <c r="O93" i="78"/>
  <c r="O92" i="78"/>
  <c r="O91" i="78"/>
  <c r="O63" i="78"/>
  <c r="O88" i="78" s="1"/>
  <c r="O62" i="78"/>
  <c r="O87" i="78" s="1"/>
  <c r="O61" i="78"/>
  <c r="O86" i="78" s="1"/>
  <c r="O38" i="78"/>
  <c r="O37" i="78"/>
  <c r="O30" i="78"/>
  <c r="O29" i="78"/>
  <c r="O55" i="78"/>
  <c r="O53" i="78"/>
  <c r="O20" i="78"/>
  <c r="O50" i="78" s="1"/>
  <c r="O42" i="78"/>
  <c r="P19" i="78" l="1"/>
  <c r="P49" i="78" s="1"/>
  <c r="Q19" i="78"/>
  <c r="Q49" i="78" s="1"/>
  <c r="P98" i="78"/>
  <c r="P99" i="78"/>
  <c r="S73" i="57"/>
  <c r="S96" i="57" s="1"/>
  <c r="S23" i="57"/>
  <c r="S52" i="57" s="1"/>
  <c r="O19" i="76"/>
  <c r="H52" i="75"/>
  <c r="R35" i="61"/>
  <c r="I52" i="75"/>
  <c r="I55" i="75" s="1"/>
  <c r="H53" i="75" s="1"/>
  <c r="G52" i="75"/>
  <c r="E77" i="64"/>
  <c r="N67" i="64"/>
  <c r="R54" i="63"/>
  <c r="R57" i="63" s="1"/>
  <c r="R36" i="63"/>
  <c r="R38" i="63" s="1"/>
  <c r="R20" i="63"/>
  <c r="R24" i="63" s="1"/>
  <c r="R27" i="63" s="1"/>
  <c r="R21" i="62"/>
  <c r="P50" i="59"/>
  <c r="O21" i="78"/>
  <c r="O51" i="78" s="1"/>
  <c r="O74" i="78"/>
  <c r="O98" i="78" s="1"/>
  <c r="H55" i="75" l="1"/>
  <c r="G53" i="75" s="1"/>
  <c r="G55" i="75" s="1"/>
  <c r="F53" i="75" s="1"/>
  <c r="F55" i="75" s="1"/>
  <c r="P101" i="78"/>
  <c r="P103" i="78"/>
  <c r="S25" i="57"/>
  <c r="S54" i="57" s="1"/>
  <c r="S75" i="57"/>
  <c r="S98" i="57" s="1"/>
  <c r="O22" i="78"/>
  <c r="O75" i="78"/>
  <c r="O24" i="78" l="1"/>
  <c r="O52" i="78"/>
  <c r="O77" i="78"/>
  <c r="O99" i="78"/>
  <c r="O26" i="78" l="1"/>
  <c r="O56" i="78" s="1"/>
  <c r="O54" i="78"/>
  <c r="O79" i="78"/>
  <c r="O103" i="78" s="1"/>
  <c r="O101" i="78"/>
  <c r="R44" i="57" l="1"/>
  <c r="R43" i="57"/>
  <c r="R42" i="57"/>
  <c r="R41" i="57"/>
  <c r="R40" i="57"/>
  <c r="R16" i="57"/>
  <c r="R17" i="78" s="1"/>
  <c r="R47" i="78" l="1"/>
  <c r="R21" i="78"/>
  <c r="R97" i="57"/>
  <c r="R95" i="57"/>
  <c r="R92" i="57"/>
  <c r="R91" i="57"/>
  <c r="R90" i="57"/>
  <c r="R89" i="57"/>
  <c r="R88" i="57"/>
  <c r="R87" i="57"/>
  <c r="R86" i="57"/>
  <c r="R70" i="57"/>
  <c r="R93" i="57" s="1"/>
  <c r="R59" i="57"/>
  <c r="R83" i="57" s="1"/>
  <c r="R58" i="57"/>
  <c r="R82" i="57" s="1"/>
  <c r="R53" i="57"/>
  <c r="R51" i="57"/>
  <c r="R48" i="57"/>
  <c r="R47" i="57"/>
  <c r="R37" i="57"/>
  <c r="R36" i="57"/>
  <c r="R46" i="57"/>
  <c r="R20" i="57"/>
  <c r="R51" i="78" l="1"/>
  <c r="R22" i="78"/>
  <c r="R49" i="57"/>
  <c r="R21" i="57"/>
  <c r="R45" i="57"/>
  <c r="R71" i="57"/>
  <c r="R73" i="57" s="1"/>
  <c r="R75" i="57" s="1"/>
  <c r="R98" i="57" s="1"/>
  <c r="N73" i="78"/>
  <c r="N72" i="78"/>
  <c r="N71" i="78"/>
  <c r="N70" i="78"/>
  <c r="N69" i="78"/>
  <c r="N68" i="78"/>
  <c r="N67" i="78"/>
  <c r="Q53" i="57"/>
  <c r="Q51" i="57"/>
  <c r="Q48" i="57"/>
  <c r="Q47" i="57"/>
  <c r="Q44" i="57"/>
  <c r="Q43" i="57"/>
  <c r="Q42" i="57"/>
  <c r="Q41" i="57"/>
  <c r="N76" i="78"/>
  <c r="N23" i="78"/>
  <c r="Q97" i="57"/>
  <c r="Q95" i="57"/>
  <c r="Q92" i="57"/>
  <c r="Q91" i="57"/>
  <c r="Q90" i="57"/>
  <c r="Q89" i="57"/>
  <c r="Q88" i="57"/>
  <c r="Q87" i="57"/>
  <c r="Q86" i="57"/>
  <c r="Q59" i="57"/>
  <c r="Q40" i="57"/>
  <c r="C24" i="76"/>
  <c r="C27" i="76" s="1"/>
  <c r="C18" i="76"/>
  <c r="C17" i="76"/>
  <c r="C11" i="76"/>
  <c r="C14" i="76" s="1"/>
  <c r="G24" i="76"/>
  <c r="G27" i="76" s="1"/>
  <c r="F24" i="76"/>
  <c r="F27" i="76" s="1"/>
  <c r="E24" i="76"/>
  <c r="E27" i="76" s="1"/>
  <c r="D24" i="76"/>
  <c r="D27" i="76" s="1"/>
  <c r="G11" i="76"/>
  <c r="F11" i="76"/>
  <c r="E11" i="76"/>
  <c r="E14" i="76" s="1"/>
  <c r="D11" i="76"/>
  <c r="D14" i="76" s="1"/>
  <c r="G14" i="76"/>
  <c r="F14" i="76"/>
  <c r="G18" i="76"/>
  <c r="F18" i="76"/>
  <c r="E18" i="76"/>
  <c r="D18" i="76"/>
  <c r="G17" i="76"/>
  <c r="G19" i="76" s="1"/>
  <c r="F17" i="76"/>
  <c r="F19" i="76" s="1"/>
  <c r="E17" i="76"/>
  <c r="E19" i="76" s="1"/>
  <c r="D17" i="76"/>
  <c r="D19" i="76" s="1"/>
  <c r="R52" i="78" l="1"/>
  <c r="R24" i="78"/>
  <c r="R94" i="57"/>
  <c r="R50" i="57"/>
  <c r="R23" i="57"/>
  <c r="N74" i="78"/>
  <c r="C19" i="76"/>
  <c r="R54" i="78" l="1"/>
  <c r="R26" i="78"/>
  <c r="R56" i="78" s="1"/>
  <c r="R52" i="57"/>
  <c r="R25" i="57"/>
  <c r="R54" i="57" s="1"/>
  <c r="R96" i="57"/>
  <c r="Q17" i="57"/>
  <c r="Q18" i="78" s="1"/>
  <c r="Q48" i="78" s="1"/>
  <c r="Q16" i="57"/>
  <c r="Q17" i="78" s="1"/>
  <c r="Q47" i="78" l="1"/>
  <c r="Q21" i="78"/>
  <c r="Q46" i="57"/>
  <c r="P18" i="78"/>
  <c r="P48" i="78" s="1"/>
  <c r="Q45" i="57"/>
  <c r="P17" i="78"/>
  <c r="P47" i="78" s="1"/>
  <c r="O10" i="59"/>
  <c r="O9" i="59"/>
  <c r="K17" i="57"/>
  <c r="Q51" i="78" l="1"/>
  <c r="Q22" i="78"/>
  <c r="P21" i="78"/>
  <c r="L17" i="57"/>
  <c r="Q52" i="78" l="1"/>
  <c r="Q24" i="78"/>
  <c r="P22" i="78"/>
  <c r="P52" i="78" s="1"/>
  <c r="P51" i="78"/>
  <c r="M69" i="57"/>
  <c r="M68" i="57"/>
  <c r="M17" i="57"/>
  <c r="M16" i="57"/>
  <c r="K24" i="76"/>
  <c r="K27" i="76" s="1"/>
  <c r="K18" i="76"/>
  <c r="K17" i="76"/>
  <c r="K11" i="76"/>
  <c r="N24" i="76"/>
  <c r="N27" i="76" s="1"/>
  <c r="M24" i="76"/>
  <c r="M27" i="76" s="1"/>
  <c r="L24" i="76"/>
  <c r="N18" i="76"/>
  <c r="M18" i="76"/>
  <c r="L18" i="76"/>
  <c r="N17" i="76"/>
  <c r="M17" i="76"/>
  <c r="L17" i="76"/>
  <c r="N11" i="76"/>
  <c r="N14" i="76" s="1"/>
  <c r="M11" i="76"/>
  <c r="M14" i="76" s="1"/>
  <c r="L11" i="76"/>
  <c r="F57" i="64"/>
  <c r="B51" i="64"/>
  <c r="M48" i="64"/>
  <c r="L48" i="64"/>
  <c r="K48" i="64"/>
  <c r="J48" i="64"/>
  <c r="I48" i="64"/>
  <c r="H48" i="64"/>
  <c r="G48" i="64"/>
  <c r="F48" i="64"/>
  <c r="E48" i="64"/>
  <c r="N47" i="64"/>
  <c r="E56" i="64" s="1"/>
  <c r="N46" i="64"/>
  <c r="E55" i="64" s="1"/>
  <c r="N45" i="64"/>
  <c r="E54" i="64" s="1"/>
  <c r="N44" i="64"/>
  <c r="E53" i="64" s="1"/>
  <c r="N43" i="64"/>
  <c r="E52" i="64" s="1"/>
  <c r="J24" i="76"/>
  <c r="J27" i="76" s="1"/>
  <c r="J18" i="76"/>
  <c r="J17" i="76"/>
  <c r="J11" i="76"/>
  <c r="J14" i="76" s="1"/>
  <c r="Q53" i="63"/>
  <c r="Q50" i="63"/>
  <c r="Q40" i="63"/>
  <c r="Q35" i="63"/>
  <c r="Q34" i="63"/>
  <c r="Q33" i="63"/>
  <c r="Q32" i="63"/>
  <c r="Q31" i="63"/>
  <c r="Q37" i="63"/>
  <c r="Q16" i="63"/>
  <c r="Q29" i="62"/>
  <c r="Q23" i="62"/>
  <c r="Q20" i="62"/>
  <c r="Q19" i="62"/>
  <c r="Q18" i="62"/>
  <c r="Q15" i="62"/>
  <c r="Q12" i="62"/>
  <c r="Q23" i="61"/>
  <c r="Q33" i="61" s="1"/>
  <c r="Q12" i="61"/>
  <c r="Q17" i="61" s="1"/>
  <c r="O48" i="59"/>
  <c r="O37" i="59"/>
  <c r="O41" i="59" s="1"/>
  <c r="O18" i="59"/>
  <c r="O29" i="59" s="1"/>
  <c r="N30" i="78"/>
  <c r="N29" i="78"/>
  <c r="N15" i="78"/>
  <c r="N14" i="78"/>
  <c r="N13" i="78"/>
  <c r="N83" i="78"/>
  <c r="N82" i="78"/>
  <c r="N65" i="78"/>
  <c r="N63" i="78"/>
  <c r="N88" i="78" s="1"/>
  <c r="N62" i="78"/>
  <c r="N87" i="78" s="1"/>
  <c r="N61" i="78"/>
  <c r="N86" i="78" s="1"/>
  <c r="N38" i="78"/>
  <c r="N37" i="78"/>
  <c r="N34" i="78"/>
  <c r="N33" i="78"/>
  <c r="N25" i="78"/>
  <c r="N20" i="78"/>
  <c r="N19" i="78"/>
  <c r="N18" i="78"/>
  <c r="N17" i="78"/>
  <c r="N16" i="78"/>
  <c r="N12" i="78"/>
  <c r="N10" i="78"/>
  <c r="Q26" i="78" l="1"/>
  <c r="Q56" i="78" s="1"/>
  <c r="Q54" i="78"/>
  <c r="L14" i="76"/>
  <c r="L27" i="76"/>
  <c r="P24" i="78"/>
  <c r="P54" i="78" s="1"/>
  <c r="L19" i="76"/>
  <c r="K19" i="76"/>
  <c r="N42" i="78"/>
  <c r="N21" i="78"/>
  <c r="N51" i="78" s="1"/>
  <c r="N75" i="78"/>
  <c r="N92" i="78"/>
  <c r="N96" i="78"/>
  <c r="N91" i="78"/>
  <c r="N95" i="78"/>
  <c r="N100" i="78"/>
  <c r="N94" i="78"/>
  <c r="N93" i="78"/>
  <c r="N97" i="78"/>
  <c r="N98" i="78"/>
  <c r="N47" i="78"/>
  <c r="N49" i="78"/>
  <c r="N55" i="78"/>
  <c r="N44" i="78"/>
  <c r="N53" i="78"/>
  <c r="N46" i="78"/>
  <c r="N48" i="78"/>
  <c r="N50" i="78"/>
  <c r="N43" i="78"/>
  <c r="N45" i="78"/>
  <c r="K14" i="76"/>
  <c r="M19" i="76"/>
  <c r="N19" i="76"/>
  <c r="J19" i="76"/>
  <c r="E57" i="64"/>
  <c r="N48" i="64"/>
  <c r="Q54" i="63"/>
  <c r="Q57" i="63" s="1"/>
  <c r="Q36" i="63"/>
  <c r="Q38" i="63" s="1"/>
  <c r="Q19" i="63"/>
  <c r="Q21" i="62"/>
  <c r="Q35" i="61"/>
  <c r="O50" i="59"/>
  <c r="Q70" i="57"/>
  <c r="Q93" i="57" s="1"/>
  <c r="Q83" i="57"/>
  <c r="Q58" i="57"/>
  <c r="Q82" i="57" s="1"/>
  <c r="Q37" i="57"/>
  <c r="Q36" i="57"/>
  <c r="Q20" i="57"/>
  <c r="Q49" i="57" s="1"/>
  <c r="M26" i="65"/>
  <c r="L70" i="57"/>
  <c r="L16" i="57"/>
  <c r="P26" i="78" l="1"/>
  <c r="P56" i="78" s="1"/>
  <c r="N22" i="78"/>
  <c r="N52" i="78" s="1"/>
  <c r="Q20" i="63"/>
  <c r="Q24" i="63" s="1"/>
  <c r="Q27" i="63" s="1"/>
  <c r="N99" i="78"/>
  <c r="N77" i="78"/>
  <c r="N101" i="78" s="1"/>
  <c r="Q21" i="57"/>
  <c r="Q50" i="57" s="1"/>
  <c r="Q71" i="57"/>
  <c r="Q94" i="57" s="1"/>
  <c r="G18" i="59"/>
  <c r="G29" i="59" s="1"/>
  <c r="D18" i="59"/>
  <c r="N24" i="78" l="1"/>
  <c r="N54" i="78" s="1"/>
  <c r="Q23" i="57"/>
  <c r="Q52" i="57" s="1"/>
  <c r="Q73" i="57"/>
  <c r="Q96" i="57" s="1"/>
  <c r="K95" i="78"/>
  <c r="K94" i="78"/>
  <c r="K93" i="78"/>
  <c r="K92" i="78"/>
  <c r="M83" i="78"/>
  <c r="L83" i="78"/>
  <c r="J83" i="78"/>
  <c r="I83" i="78"/>
  <c r="H83" i="78"/>
  <c r="F83" i="78"/>
  <c r="E83" i="78"/>
  <c r="M82" i="78"/>
  <c r="L82" i="78"/>
  <c r="J82" i="78"/>
  <c r="I82" i="78"/>
  <c r="H82" i="78"/>
  <c r="F82" i="78"/>
  <c r="E82" i="78"/>
  <c r="E78" i="78"/>
  <c r="E76" i="78"/>
  <c r="M73" i="78"/>
  <c r="L73" i="78"/>
  <c r="J73" i="78"/>
  <c r="I73" i="78"/>
  <c r="H73" i="78"/>
  <c r="F73" i="78"/>
  <c r="E73" i="78"/>
  <c r="M72" i="78"/>
  <c r="L72" i="78"/>
  <c r="J72" i="78"/>
  <c r="I72" i="78"/>
  <c r="H72" i="78"/>
  <c r="F72" i="78"/>
  <c r="E72" i="78"/>
  <c r="M71" i="78"/>
  <c r="L71" i="78"/>
  <c r="J71" i="78"/>
  <c r="I71" i="78"/>
  <c r="H71" i="78"/>
  <c r="F71" i="78"/>
  <c r="E71" i="78"/>
  <c r="M70" i="78"/>
  <c r="L70" i="78"/>
  <c r="J70" i="78"/>
  <c r="I70" i="78"/>
  <c r="H70" i="78"/>
  <c r="F70" i="78"/>
  <c r="E70" i="78"/>
  <c r="M69" i="78"/>
  <c r="L69" i="78"/>
  <c r="J69" i="78"/>
  <c r="I69" i="78"/>
  <c r="H69" i="78"/>
  <c r="F69" i="78"/>
  <c r="E69" i="78"/>
  <c r="M68" i="78"/>
  <c r="L68" i="78"/>
  <c r="J68" i="78"/>
  <c r="I68" i="78"/>
  <c r="H68" i="78"/>
  <c r="F68" i="78"/>
  <c r="E68" i="78"/>
  <c r="M67" i="78"/>
  <c r="L67" i="78"/>
  <c r="J67" i="78"/>
  <c r="I67" i="78"/>
  <c r="H67" i="78"/>
  <c r="F67" i="78"/>
  <c r="E67" i="78"/>
  <c r="M65" i="78"/>
  <c r="L65" i="78"/>
  <c r="J65" i="78"/>
  <c r="I65" i="78"/>
  <c r="H65" i="78"/>
  <c r="G65" i="78"/>
  <c r="G94" i="78" s="1"/>
  <c r="F65" i="78"/>
  <c r="E65" i="78"/>
  <c r="M34" i="78"/>
  <c r="L34" i="78"/>
  <c r="J34" i="78"/>
  <c r="I34" i="78"/>
  <c r="H34" i="78"/>
  <c r="G34" i="78"/>
  <c r="F34" i="78"/>
  <c r="E34" i="78"/>
  <c r="M33" i="78"/>
  <c r="L33" i="78"/>
  <c r="J33" i="78"/>
  <c r="I33" i="78"/>
  <c r="H33" i="78"/>
  <c r="G33" i="78"/>
  <c r="F33" i="78"/>
  <c r="E33" i="78"/>
  <c r="M30" i="78"/>
  <c r="L30" i="78"/>
  <c r="J30" i="78"/>
  <c r="I30" i="78"/>
  <c r="H30" i="78"/>
  <c r="F30" i="78"/>
  <c r="E30" i="78"/>
  <c r="M29" i="78"/>
  <c r="L29" i="78"/>
  <c r="J29" i="78"/>
  <c r="I29" i="78"/>
  <c r="H29" i="78"/>
  <c r="F29" i="78"/>
  <c r="E29" i="78"/>
  <c r="M25" i="78"/>
  <c r="L25" i="78"/>
  <c r="K25" i="78"/>
  <c r="J25" i="78"/>
  <c r="I25" i="78"/>
  <c r="H25" i="78"/>
  <c r="G25" i="78"/>
  <c r="F25" i="78"/>
  <c r="E25" i="78"/>
  <c r="M23" i="78"/>
  <c r="L23" i="78"/>
  <c r="K23" i="78"/>
  <c r="J23" i="78"/>
  <c r="I23" i="78"/>
  <c r="H23" i="78"/>
  <c r="G23" i="78"/>
  <c r="F23" i="78"/>
  <c r="E23" i="78"/>
  <c r="M20" i="78"/>
  <c r="L20" i="78"/>
  <c r="J20" i="78"/>
  <c r="I20" i="78"/>
  <c r="H20" i="78"/>
  <c r="F20" i="78"/>
  <c r="E20" i="78"/>
  <c r="M19" i="78"/>
  <c r="L19" i="78"/>
  <c r="J19" i="78"/>
  <c r="I19" i="78"/>
  <c r="H19" i="78"/>
  <c r="F19" i="78"/>
  <c r="E19" i="78"/>
  <c r="M18" i="78"/>
  <c r="L18" i="78"/>
  <c r="J18" i="78"/>
  <c r="I18" i="78"/>
  <c r="H18" i="78"/>
  <c r="F18" i="78"/>
  <c r="E18" i="78"/>
  <c r="M17" i="78"/>
  <c r="L17" i="78"/>
  <c r="J17" i="78"/>
  <c r="I17" i="78"/>
  <c r="H17" i="78"/>
  <c r="F17" i="78"/>
  <c r="E17" i="78"/>
  <c r="M16" i="78"/>
  <c r="L16" i="78"/>
  <c r="J16" i="78"/>
  <c r="I16" i="78"/>
  <c r="H16" i="78"/>
  <c r="F16" i="78"/>
  <c r="E16" i="78"/>
  <c r="M15" i="78"/>
  <c r="L15" i="78"/>
  <c r="J15" i="78"/>
  <c r="I15" i="78"/>
  <c r="H15" i="78"/>
  <c r="F15" i="78"/>
  <c r="E15" i="78"/>
  <c r="M14" i="78"/>
  <c r="L14" i="78"/>
  <c r="J14" i="78"/>
  <c r="I14" i="78"/>
  <c r="H14" i="78"/>
  <c r="F14" i="78"/>
  <c r="E14" i="78"/>
  <c r="M13" i="78"/>
  <c r="L13" i="78"/>
  <c r="J13" i="78"/>
  <c r="I13" i="78"/>
  <c r="H13" i="78"/>
  <c r="F13" i="78"/>
  <c r="E13" i="78"/>
  <c r="M12" i="78"/>
  <c r="L12" i="78"/>
  <c r="J12" i="78"/>
  <c r="I12" i="78"/>
  <c r="H12" i="78"/>
  <c r="F12" i="78"/>
  <c r="E12" i="78"/>
  <c r="M10" i="78"/>
  <c r="L10" i="78"/>
  <c r="K10" i="78"/>
  <c r="K46" i="78" s="1"/>
  <c r="J10" i="78"/>
  <c r="I10" i="78"/>
  <c r="H10" i="78"/>
  <c r="G10" i="78"/>
  <c r="G46" i="78" s="1"/>
  <c r="F10" i="78"/>
  <c r="E10" i="78"/>
  <c r="L88" i="78"/>
  <c r="K88" i="78"/>
  <c r="J88" i="78"/>
  <c r="I88" i="78"/>
  <c r="H88" i="78"/>
  <c r="G88" i="78"/>
  <c r="F88" i="78"/>
  <c r="E88" i="78"/>
  <c r="M63" i="78"/>
  <c r="M88" i="78" s="1"/>
  <c r="M62" i="78"/>
  <c r="M87" i="78" s="1"/>
  <c r="M61" i="78"/>
  <c r="M86" i="78" s="1"/>
  <c r="L61" i="78"/>
  <c r="L86" i="78" s="1"/>
  <c r="K61" i="78"/>
  <c r="K86" i="78" s="1"/>
  <c r="J61" i="78"/>
  <c r="J86" i="78" s="1"/>
  <c r="I61" i="78"/>
  <c r="I86" i="78" s="1"/>
  <c r="H61" i="78"/>
  <c r="H86" i="78" s="1"/>
  <c r="G61" i="78"/>
  <c r="G86" i="78" s="1"/>
  <c r="F61" i="78"/>
  <c r="F86" i="78" s="1"/>
  <c r="E61" i="78"/>
  <c r="E86" i="78" s="1"/>
  <c r="M38" i="78"/>
  <c r="L38" i="78"/>
  <c r="K38" i="78"/>
  <c r="J38" i="78"/>
  <c r="I38" i="78"/>
  <c r="H38" i="78"/>
  <c r="G38" i="78"/>
  <c r="F38" i="78"/>
  <c r="E38" i="78"/>
  <c r="M37" i="78"/>
  <c r="L37" i="78"/>
  <c r="K37" i="78"/>
  <c r="J37" i="78"/>
  <c r="I37" i="78"/>
  <c r="H37" i="78"/>
  <c r="G37" i="78"/>
  <c r="F37" i="78"/>
  <c r="E37" i="78"/>
  <c r="N26" i="78" l="1"/>
  <c r="N56" i="78" s="1"/>
  <c r="Q25" i="57"/>
  <c r="Q54" i="57" s="1"/>
  <c r="Q75" i="57"/>
  <c r="Q98" i="57" s="1"/>
  <c r="E43" i="78"/>
  <c r="H43" i="78"/>
  <c r="J43" i="78"/>
  <c r="M43" i="78"/>
  <c r="F44" i="78"/>
  <c r="I44" i="78"/>
  <c r="L44" i="78"/>
  <c r="E45" i="78"/>
  <c r="H45" i="78"/>
  <c r="J45" i="78"/>
  <c r="M45" i="78"/>
  <c r="F46" i="78"/>
  <c r="I46" i="78"/>
  <c r="L46" i="78"/>
  <c r="F92" i="78"/>
  <c r="I92" i="78"/>
  <c r="L92" i="78"/>
  <c r="E93" i="78"/>
  <c r="H93" i="78"/>
  <c r="J93" i="78"/>
  <c r="M93" i="78"/>
  <c r="F94" i="78"/>
  <c r="I94" i="78"/>
  <c r="L94" i="78"/>
  <c r="E95" i="78"/>
  <c r="H95" i="78"/>
  <c r="J95" i="78"/>
  <c r="M95" i="78"/>
  <c r="F43" i="78"/>
  <c r="I43" i="78"/>
  <c r="L43" i="78"/>
  <c r="E44" i="78"/>
  <c r="H44" i="78"/>
  <c r="J44" i="78"/>
  <c r="M44" i="78"/>
  <c r="F45" i="78"/>
  <c r="I45" i="78"/>
  <c r="L45" i="78"/>
  <c r="E46" i="78"/>
  <c r="H46" i="78"/>
  <c r="J46" i="78"/>
  <c r="M46" i="78"/>
  <c r="E92" i="78"/>
  <c r="H92" i="78"/>
  <c r="J92" i="78"/>
  <c r="M92" i="78"/>
  <c r="F93" i="78"/>
  <c r="I93" i="78"/>
  <c r="L93" i="78"/>
  <c r="E94" i="78"/>
  <c r="H94" i="78"/>
  <c r="J94" i="78"/>
  <c r="M94" i="78"/>
  <c r="F95" i="78"/>
  <c r="I95" i="78"/>
  <c r="L95" i="78"/>
  <c r="G43" i="78"/>
  <c r="K43" i="78"/>
  <c r="G45" i="78"/>
  <c r="K45" i="78"/>
  <c r="G93" i="78"/>
  <c r="G95" i="78"/>
  <c r="G44" i="78"/>
  <c r="K44" i="78"/>
  <c r="G92" i="78"/>
  <c r="F42" i="78"/>
  <c r="H42" i="78"/>
  <c r="J42" i="78"/>
  <c r="L42" i="78"/>
  <c r="F47" i="78"/>
  <c r="H47" i="78"/>
  <c r="J47" i="78"/>
  <c r="L47" i="78"/>
  <c r="E48" i="78"/>
  <c r="G48" i="78"/>
  <c r="I48" i="78"/>
  <c r="K48" i="78"/>
  <c r="M48" i="78"/>
  <c r="F49" i="78"/>
  <c r="H49" i="78"/>
  <c r="J49" i="78"/>
  <c r="L49" i="78"/>
  <c r="E50" i="78"/>
  <c r="G50" i="78"/>
  <c r="I50" i="78"/>
  <c r="K50" i="78"/>
  <c r="M50" i="78"/>
  <c r="F53" i="78"/>
  <c r="H53" i="78"/>
  <c r="J53" i="78"/>
  <c r="L53" i="78"/>
  <c r="E55" i="78"/>
  <c r="G55" i="78"/>
  <c r="I55" i="78"/>
  <c r="K55" i="78"/>
  <c r="M55" i="78"/>
  <c r="F91" i="78"/>
  <c r="H91" i="78"/>
  <c r="J91" i="78"/>
  <c r="L91" i="78"/>
  <c r="F96" i="78"/>
  <c r="H96" i="78"/>
  <c r="J96" i="78"/>
  <c r="L96" i="78"/>
  <c r="E97" i="78"/>
  <c r="G97" i="78"/>
  <c r="I97" i="78"/>
  <c r="K97" i="78"/>
  <c r="M97" i="78"/>
  <c r="E102" i="78"/>
  <c r="E42" i="78"/>
  <c r="G42" i="78"/>
  <c r="I42" i="78"/>
  <c r="K42" i="78"/>
  <c r="M42" i="78"/>
  <c r="E47" i="78"/>
  <c r="G47" i="78"/>
  <c r="I47" i="78"/>
  <c r="K47" i="78"/>
  <c r="M47" i="78"/>
  <c r="F48" i="78"/>
  <c r="H48" i="78"/>
  <c r="J48" i="78"/>
  <c r="L48" i="78"/>
  <c r="E49" i="78"/>
  <c r="G49" i="78"/>
  <c r="I49" i="78"/>
  <c r="K49" i="78"/>
  <c r="M49" i="78"/>
  <c r="F50" i="78"/>
  <c r="H50" i="78"/>
  <c r="J50" i="78"/>
  <c r="L50" i="78"/>
  <c r="E53" i="78"/>
  <c r="G53" i="78"/>
  <c r="I53" i="78"/>
  <c r="K53" i="78"/>
  <c r="M53" i="78"/>
  <c r="F55" i="78"/>
  <c r="H55" i="78"/>
  <c r="J55" i="78"/>
  <c r="L55" i="78"/>
  <c r="E91" i="78"/>
  <c r="G91" i="78"/>
  <c r="I91" i="78"/>
  <c r="K91" i="78"/>
  <c r="M91" i="78"/>
  <c r="E96" i="78"/>
  <c r="G96" i="78"/>
  <c r="I96" i="78"/>
  <c r="K96" i="78"/>
  <c r="M96" i="78"/>
  <c r="F97" i="78"/>
  <c r="H97" i="78"/>
  <c r="J97" i="78"/>
  <c r="L97" i="78"/>
  <c r="E100" i="78"/>
  <c r="F21" i="78"/>
  <c r="F51" i="78" s="1"/>
  <c r="H21" i="78"/>
  <c r="H51" i="78" s="1"/>
  <c r="J21" i="78"/>
  <c r="J51" i="78" s="1"/>
  <c r="L21" i="78"/>
  <c r="L51" i="78" s="1"/>
  <c r="F74" i="78"/>
  <c r="F98" i="78" s="1"/>
  <c r="H74" i="78"/>
  <c r="H98" i="78" s="1"/>
  <c r="J74" i="78"/>
  <c r="J98" i="78" s="1"/>
  <c r="L74" i="78"/>
  <c r="L98" i="78" s="1"/>
  <c r="E21" i="78"/>
  <c r="E51" i="78" s="1"/>
  <c r="G21" i="78"/>
  <c r="G51" i="78" s="1"/>
  <c r="I21" i="78"/>
  <c r="I51" i="78" s="1"/>
  <c r="K21" i="78"/>
  <c r="K51" i="78" s="1"/>
  <c r="M21" i="78"/>
  <c r="M51" i="78" s="1"/>
  <c r="E74" i="78"/>
  <c r="E98" i="78" s="1"/>
  <c r="G74" i="78"/>
  <c r="G98" i="78" s="1"/>
  <c r="I74" i="78"/>
  <c r="I98" i="78" s="1"/>
  <c r="K74" i="78"/>
  <c r="K98" i="78" s="1"/>
  <c r="M74" i="78"/>
  <c r="M98" i="78" s="1"/>
  <c r="J75" i="78" l="1"/>
  <c r="F75" i="78"/>
  <c r="J22" i="78"/>
  <c r="M75" i="78"/>
  <c r="I75" i="78"/>
  <c r="E75" i="78"/>
  <c r="K22" i="78"/>
  <c r="G22" i="78"/>
  <c r="H22" i="78"/>
  <c r="L75" i="78"/>
  <c r="H75" i="78"/>
  <c r="L22" i="78"/>
  <c r="F22" i="78"/>
  <c r="K75" i="78"/>
  <c r="G75" i="78"/>
  <c r="M22" i="78"/>
  <c r="I22" i="78"/>
  <c r="E22" i="78"/>
  <c r="I52" i="78" l="1"/>
  <c r="I24" i="78"/>
  <c r="G99" i="78"/>
  <c r="F52" i="78"/>
  <c r="F24" i="78"/>
  <c r="H99" i="78"/>
  <c r="H52" i="78"/>
  <c r="H24" i="78"/>
  <c r="K52" i="78"/>
  <c r="K24" i="78"/>
  <c r="I99" i="78"/>
  <c r="J52" i="78"/>
  <c r="J24" i="78"/>
  <c r="J99" i="78"/>
  <c r="E52" i="78"/>
  <c r="E24" i="78"/>
  <c r="M52" i="78"/>
  <c r="M24" i="78"/>
  <c r="K99" i="78"/>
  <c r="L52" i="78"/>
  <c r="L24" i="78"/>
  <c r="L99" i="78"/>
  <c r="G52" i="78"/>
  <c r="G24" i="78"/>
  <c r="E99" i="78"/>
  <c r="E77" i="78"/>
  <c r="M99" i="78"/>
  <c r="F99" i="78"/>
  <c r="E101" i="78" l="1"/>
  <c r="E79" i="78"/>
  <c r="E103" i="78" s="1"/>
  <c r="G54" i="78"/>
  <c r="G26" i="78"/>
  <c r="G56" i="78" s="1"/>
  <c r="L54" i="78"/>
  <c r="L26" i="78"/>
  <c r="L56" i="78" s="1"/>
  <c r="M54" i="78"/>
  <c r="M26" i="78"/>
  <c r="M56" i="78" s="1"/>
  <c r="E54" i="78"/>
  <c r="E26" i="78"/>
  <c r="E56" i="78" s="1"/>
  <c r="J54" i="78"/>
  <c r="J26" i="78"/>
  <c r="J56" i="78" s="1"/>
  <c r="K54" i="78"/>
  <c r="K26" i="78"/>
  <c r="K56" i="78" s="1"/>
  <c r="H54" i="78"/>
  <c r="H26" i="78"/>
  <c r="H56" i="78" s="1"/>
  <c r="F54" i="78"/>
  <c r="F26" i="78"/>
  <c r="F56" i="78" s="1"/>
  <c r="I54" i="78"/>
  <c r="I26" i="78"/>
  <c r="I56" i="78" s="1"/>
  <c r="F53" i="63" l="1"/>
  <c r="F50" i="63"/>
  <c r="F40" i="63"/>
  <c r="F37" i="63"/>
  <c r="F35" i="63"/>
  <c r="F34" i="63"/>
  <c r="F33" i="63"/>
  <c r="F32" i="63"/>
  <c r="F31" i="63"/>
  <c r="F18" i="62"/>
  <c r="F20" i="62"/>
  <c r="F19" i="62"/>
  <c r="F29" i="62"/>
  <c r="F18" i="59"/>
  <c r="F29" i="59" s="1"/>
  <c r="E18" i="59"/>
  <c r="N78" i="78"/>
  <c r="N102" i="78" s="1"/>
  <c r="I74" i="57"/>
  <c r="F21" i="62" l="1"/>
  <c r="N79" i="78"/>
  <c r="N103" i="78" s="1"/>
  <c r="H78" i="78"/>
  <c r="H102" i="78" s="1"/>
  <c r="F78" i="78"/>
  <c r="F102" i="78" s="1"/>
  <c r="I78" i="78"/>
  <c r="I102" i="78" s="1"/>
  <c r="G78" i="78"/>
  <c r="G102" i="78" s="1"/>
  <c r="L78" i="78"/>
  <c r="J78" i="78"/>
  <c r="J102" i="78" s="1"/>
  <c r="M78" i="78"/>
  <c r="M102" i="78" s="1"/>
  <c r="K78" i="78"/>
  <c r="K102" i="78" s="1"/>
  <c r="I76" i="78"/>
  <c r="G76" i="78"/>
  <c r="H76" i="78"/>
  <c r="F76" i="78"/>
  <c r="M76" i="78"/>
  <c r="K76" i="78"/>
  <c r="L76" i="78"/>
  <c r="J76" i="78"/>
  <c r="F36" i="63"/>
  <c r="F38" i="63" s="1"/>
  <c r="F54" i="63"/>
  <c r="P43" i="57"/>
  <c r="O43" i="57"/>
  <c r="N43" i="57"/>
  <c r="M43" i="57"/>
  <c r="L43" i="57"/>
  <c r="K43" i="57"/>
  <c r="J43" i="57"/>
  <c r="I43" i="57"/>
  <c r="H43" i="57"/>
  <c r="G43" i="57"/>
  <c r="F43" i="57"/>
  <c r="E43" i="57"/>
  <c r="P42" i="57"/>
  <c r="O42" i="57"/>
  <c r="N42" i="57"/>
  <c r="M42" i="57"/>
  <c r="L42" i="57"/>
  <c r="K42" i="57"/>
  <c r="J42" i="57"/>
  <c r="I42" i="57"/>
  <c r="H42" i="57"/>
  <c r="G42" i="57"/>
  <c r="F42" i="57"/>
  <c r="E42" i="57"/>
  <c r="P41" i="57"/>
  <c r="O41" i="57"/>
  <c r="N41" i="57"/>
  <c r="M41" i="57"/>
  <c r="L41" i="57"/>
  <c r="K41" i="57"/>
  <c r="J41" i="57"/>
  <c r="I41" i="57"/>
  <c r="H41" i="57"/>
  <c r="G41" i="57"/>
  <c r="F41" i="57"/>
  <c r="E41" i="57"/>
  <c r="P90" i="57"/>
  <c r="O90" i="57"/>
  <c r="N90" i="57"/>
  <c r="M90" i="57"/>
  <c r="L90" i="57"/>
  <c r="K90" i="57"/>
  <c r="J90" i="57"/>
  <c r="I90" i="57"/>
  <c r="H90" i="57"/>
  <c r="G90" i="57"/>
  <c r="F90" i="57"/>
  <c r="E90" i="57"/>
  <c r="P89" i="57"/>
  <c r="O89" i="57"/>
  <c r="N89" i="57"/>
  <c r="M89" i="57"/>
  <c r="L89" i="57"/>
  <c r="K89" i="57"/>
  <c r="J89" i="57"/>
  <c r="I89" i="57"/>
  <c r="H89" i="57"/>
  <c r="G89" i="57"/>
  <c r="F89" i="57"/>
  <c r="E89" i="57"/>
  <c r="P88" i="57"/>
  <c r="O88" i="57"/>
  <c r="N88" i="57"/>
  <c r="M88" i="57"/>
  <c r="L88" i="57"/>
  <c r="K88" i="57"/>
  <c r="J88" i="57"/>
  <c r="I88" i="57"/>
  <c r="H88" i="57"/>
  <c r="G88" i="57"/>
  <c r="F88" i="57"/>
  <c r="E88" i="57"/>
  <c r="P87" i="57"/>
  <c r="O87" i="57"/>
  <c r="N87" i="57"/>
  <c r="M87" i="57"/>
  <c r="L87" i="57"/>
  <c r="K87" i="57"/>
  <c r="J87" i="57"/>
  <c r="I87" i="57"/>
  <c r="H87" i="57"/>
  <c r="G87" i="57"/>
  <c r="F87" i="57"/>
  <c r="E87" i="57"/>
  <c r="E86" i="57"/>
  <c r="L102" i="78" l="1"/>
  <c r="F57" i="63"/>
  <c r="L100" i="78"/>
  <c r="L77" i="78"/>
  <c r="M100" i="78"/>
  <c r="M77" i="78"/>
  <c r="H100" i="78"/>
  <c r="H77" i="78"/>
  <c r="I100" i="78"/>
  <c r="I77" i="78"/>
  <c r="J100" i="78"/>
  <c r="J77" i="78"/>
  <c r="K100" i="78"/>
  <c r="K77" i="78"/>
  <c r="F100" i="78"/>
  <c r="F77" i="78"/>
  <c r="G100" i="78"/>
  <c r="G77" i="78"/>
  <c r="F39" i="64"/>
  <c r="B33" i="64"/>
  <c r="M30" i="64"/>
  <c r="L30" i="64"/>
  <c r="K30" i="64"/>
  <c r="J30" i="64"/>
  <c r="I30" i="64"/>
  <c r="H30" i="64"/>
  <c r="G30" i="64"/>
  <c r="F30" i="64"/>
  <c r="E30" i="64"/>
  <c r="N29" i="64"/>
  <c r="E38" i="64" s="1"/>
  <c r="N28" i="64"/>
  <c r="E37" i="64" s="1"/>
  <c r="N27" i="64"/>
  <c r="E36" i="64" s="1"/>
  <c r="N26" i="64"/>
  <c r="N25" i="64"/>
  <c r="E34" i="64" s="1"/>
  <c r="H17" i="76"/>
  <c r="I18" i="76"/>
  <c r="I17" i="76"/>
  <c r="H18" i="76"/>
  <c r="I24" i="76"/>
  <c r="I27" i="76" s="1"/>
  <c r="I11" i="76"/>
  <c r="I14" i="76" s="1"/>
  <c r="E39" i="64" l="1"/>
  <c r="G79" i="78"/>
  <c r="G103" i="78" s="1"/>
  <c r="G101" i="78"/>
  <c r="F79" i="78"/>
  <c r="F103" i="78" s="1"/>
  <c r="F101" i="78"/>
  <c r="K79" i="78"/>
  <c r="K103" i="78" s="1"/>
  <c r="K101" i="78"/>
  <c r="J79" i="78"/>
  <c r="J103" i="78" s="1"/>
  <c r="J101" i="78"/>
  <c r="I101" i="78"/>
  <c r="I79" i="78"/>
  <c r="I103" i="78" s="1"/>
  <c r="H79" i="78"/>
  <c r="H103" i="78" s="1"/>
  <c r="H101" i="78"/>
  <c r="M79" i="78"/>
  <c r="M103" i="78" s="1"/>
  <c r="M101" i="78"/>
  <c r="L79" i="78"/>
  <c r="L103" i="78" s="1"/>
  <c r="L101" i="78"/>
  <c r="I19" i="76"/>
  <c r="N30" i="64"/>
  <c r="P70" i="57"/>
  <c r="P97" i="57"/>
  <c r="P95" i="57"/>
  <c r="P92" i="57"/>
  <c r="P91" i="57"/>
  <c r="P86" i="57"/>
  <c r="P53" i="57"/>
  <c r="P51" i="57"/>
  <c r="P48" i="57"/>
  <c r="P47" i="57"/>
  <c r="P46" i="57"/>
  <c r="P45" i="57"/>
  <c r="P44" i="57"/>
  <c r="H11" i="76"/>
  <c r="H24" i="76"/>
  <c r="H27" i="76" s="1"/>
  <c r="H19" i="76"/>
  <c r="O70" i="57"/>
  <c r="N70" i="57"/>
  <c r="N71" i="57" s="1"/>
  <c r="M70" i="57"/>
  <c r="M71" i="57" s="1"/>
  <c r="L71" i="57"/>
  <c r="K70" i="57"/>
  <c r="K71" i="57" s="1"/>
  <c r="J70" i="57"/>
  <c r="J71" i="57" s="1"/>
  <c r="I70" i="57"/>
  <c r="I71" i="57" s="1"/>
  <c r="H70" i="57"/>
  <c r="H71" i="57" s="1"/>
  <c r="G70" i="57"/>
  <c r="G71" i="57" s="1"/>
  <c r="F70" i="57"/>
  <c r="F71" i="57" s="1"/>
  <c r="E70" i="57"/>
  <c r="E71" i="57" s="1"/>
  <c r="O20" i="57"/>
  <c r="N20" i="57"/>
  <c r="N21" i="57" s="1"/>
  <c r="M20" i="57"/>
  <c r="M21" i="57" s="1"/>
  <c r="L20" i="57"/>
  <c r="L21" i="57" s="1"/>
  <c r="K20" i="57"/>
  <c r="K21" i="57" s="1"/>
  <c r="J20" i="57"/>
  <c r="J21" i="57" s="1"/>
  <c r="I20" i="57"/>
  <c r="I21" i="57" s="1"/>
  <c r="H20" i="57"/>
  <c r="H21" i="57" s="1"/>
  <c r="G20" i="57"/>
  <c r="G21" i="57" s="1"/>
  <c r="F20" i="57"/>
  <c r="F21" i="57" s="1"/>
  <c r="E20" i="57"/>
  <c r="E21" i="57" s="1"/>
  <c r="E23" i="57" s="1"/>
  <c r="E40" i="57"/>
  <c r="F84" i="72"/>
  <c r="B77" i="72"/>
  <c r="M74" i="72"/>
  <c r="N74" i="72"/>
  <c r="L74" i="72"/>
  <c r="K74" i="72"/>
  <c r="J74" i="72"/>
  <c r="H74" i="72"/>
  <c r="G74" i="72"/>
  <c r="I74" i="72"/>
  <c r="F74" i="72"/>
  <c r="E74" i="72"/>
  <c r="O73" i="72"/>
  <c r="E83" i="72" s="1"/>
  <c r="O72" i="72"/>
  <c r="E82" i="72" s="1"/>
  <c r="O71" i="72"/>
  <c r="E81" i="72" s="1"/>
  <c r="O70" i="72"/>
  <c r="E80" i="72" s="1"/>
  <c r="O69" i="72"/>
  <c r="E79" i="72" s="1"/>
  <c r="O68" i="72"/>
  <c r="E78" i="72" s="1"/>
  <c r="F78" i="65"/>
  <c r="B71" i="65"/>
  <c r="M68" i="65"/>
  <c r="L68" i="65"/>
  <c r="K68" i="65"/>
  <c r="J68" i="65"/>
  <c r="I68" i="65"/>
  <c r="G68" i="65"/>
  <c r="F68" i="65"/>
  <c r="E68" i="65"/>
  <c r="N67" i="65"/>
  <c r="E77" i="65" s="1"/>
  <c r="N66" i="65"/>
  <c r="E76" i="65" s="1"/>
  <c r="N65" i="65"/>
  <c r="E75" i="65" s="1"/>
  <c r="H64" i="65"/>
  <c r="H68" i="65" s="1"/>
  <c r="N63" i="65"/>
  <c r="E73" i="65" s="1"/>
  <c r="N62" i="65"/>
  <c r="E72" i="65" s="1"/>
  <c r="P12" i="62"/>
  <c r="O12" i="62"/>
  <c r="N12" i="62"/>
  <c r="M12" i="62"/>
  <c r="L12" i="62"/>
  <c r="K12" i="62"/>
  <c r="J12" i="62"/>
  <c r="I12" i="62"/>
  <c r="H12" i="62"/>
  <c r="G12" i="62"/>
  <c r="G15" i="62" s="1"/>
  <c r="F12" i="62"/>
  <c r="E12" i="62"/>
  <c r="E15" i="62" s="1"/>
  <c r="O86" i="57"/>
  <c r="N86" i="57"/>
  <c r="M86" i="57"/>
  <c r="L86" i="57"/>
  <c r="K86" i="57"/>
  <c r="J86" i="57"/>
  <c r="I86" i="57"/>
  <c r="H86" i="57"/>
  <c r="G86" i="57"/>
  <c r="F86" i="57"/>
  <c r="O40" i="57"/>
  <c r="N40" i="57"/>
  <c r="M40" i="57"/>
  <c r="L40" i="57"/>
  <c r="K40" i="57"/>
  <c r="J40" i="57"/>
  <c r="I40" i="57"/>
  <c r="H40" i="57"/>
  <c r="G40" i="57"/>
  <c r="F40" i="57"/>
  <c r="P40" i="63"/>
  <c r="O40" i="63"/>
  <c r="N40" i="63"/>
  <c r="M40" i="63"/>
  <c r="L40" i="63"/>
  <c r="K40" i="63"/>
  <c r="J40" i="63"/>
  <c r="I40" i="63"/>
  <c r="H40" i="63"/>
  <c r="G40" i="63"/>
  <c r="P23" i="62"/>
  <c r="O23" i="62"/>
  <c r="N23" i="62"/>
  <c r="M23" i="62"/>
  <c r="L23" i="62"/>
  <c r="K23" i="62"/>
  <c r="J23" i="62"/>
  <c r="I23" i="62"/>
  <c r="H23" i="62"/>
  <c r="O71" i="57" l="1"/>
  <c r="O21" i="57"/>
  <c r="H14" i="76"/>
  <c r="F15" i="62"/>
  <c r="P20" i="57"/>
  <c r="P49" i="57" s="1"/>
  <c r="P71" i="57"/>
  <c r="P40" i="57"/>
  <c r="P93" i="57"/>
  <c r="E84" i="72"/>
  <c r="O74" i="72"/>
  <c r="N64" i="65"/>
  <c r="E74" i="65" s="1"/>
  <c r="E78" i="65" s="1"/>
  <c r="P21" i="57" l="1"/>
  <c r="P73" i="57"/>
  <c r="P96" i="57" s="1"/>
  <c r="P94" i="57"/>
  <c r="N68" i="65"/>
  <c r="F21" i="65"/>
  <c r="B15" i="65"/>
  <c r="L12" i="65"/>
  <c r="K12" i="65"/>
  <c r="J12" i="65"/>
  <c r="I12" i="65"/>
  <c r="H12" i="65"/>
  <c r="G12" i="65"/>
  <c r="F12" i="65"/>
  <c r="E12" i="65"/>
  <c r="M11" i="65"/>
  <c r="E20" i="65" s="1"/>
  <c r="M10" i="65"/>
  <c r="E19" i="65" s="1"/>
  <c r="M9" i="65"/>
  <c r="E18" i="65" s="1"/>
  <c r="M8" i="65"/>
  <c r="E17" i="65" s="1"/>
  <c r="M7" i="65"/>
  <c r="E16" i="65" s="1"/>
  <c r="F21" i="64"/>
  <c r="B15" i="64"/>
  <c r="M12" i="64"/>
  <c r="L12" i="64"/>
  <c r="K12" i="64"/>
  <c r="J12" i="64"/>
  <c r="I12" i="64"/>
  <c r="H12" i="64"/>
  <c r="G12" i="64"/>
  <c r="F12" i="64"/>
  <c r="E12" i="64"/>
  <c r="N11" i="64"/>
  <c r="E20" i="64" s="1"/>
  <c r="N10" i="64"/>
  <c r="E19" i="64" s="1"/>
  <c r="N9" i="64"/>
  <c r="E18" i="64" s="1"/>
  <c r="N8" i="64"/>
  <c r="E17" i="64" s="1"/>
  <c r="N7" i="64"/>
  <c r="E16" i="64" s="1"/>
  <c r="P75" i="57" l="1"/>
  <c r="P98" i="57" s="1"/>
  <c r="P50" i="57"/>
  <c r="P23" i="57"/>
  <c r="P25" i="57" s="1"/>
  <c r="P54" i="57" s="1"/>
  <c r="E21" i="65"/>
  <c r="M12" i="65"/>
  <c r="E21" i="64"/>
  <c r="N12" i="64"/>
  <c r="P52" i="57" l="1"/>
  <c r="N53" i="63"/>
  <c r="M53" i="63"/>
  <c r="L53" i="63"/>
  <c r="K53" i="63"/>
  <c r="J53" i="63"/>
  <c r="I53" i="63"/>
  <c r="H53" i="63"/>
  <c r="G53" i="63"/>
  <c r="P53" i="63"/>
  <c r="N50" i="63"/>
  <c r="M50" i="63"/>
  <c r="L50" i="63"/>
  <c r="K50" i="63"/>
  <c r="J50" i="63"/>
  <c r="I50" i="63"/>
  <c r="H50" i="63"/>
  <c r="G50" i="63"/>
  <c r="P50" i="63"/>
  <c r="N37" i="63"/>
  <c r="M37" i="63"/>
  <c r="L37" i="63"/>
  <c r="K37" i="63"/>
  <c r="J37" i="63"/>
  <c r="I37" i="63"/>
  <c r="H37" i="63"/>
  <c r="G37" i="63"/>
  <c r="N35" i="63"/>
  <c r="M35" i="63"/>
  <c r="L35" i="63"/>
  <c r="K35" i="63"/>
  <c r="J35" i="63"/>
  <c r="I35" i="63"/>
  <c r="H35" i="63"/>
  <c r="G35" i="63"/>
  <c r="N34" i="63"/>
  <c r="M34" i="63"/>
  <c r="L34" i="63"/>
  <c r="K34" i="63"/>
  <c r="J34" i="63"/>
  <c r="I34" i="63"/>
  <c r="H34" i="63"/>
  <c r="G34" i="63"/>
  <c r="N33" i="63"/>
  <c r="N36" i="63" s="1"/>
  <c r="M33" i="63"/>
  <c r="M36" i="63" s="1"/>
  <c r="L33" i="63"/>
  <c r="L36" i="63" s="1"/>
  <c r="K33" i="63"/>
  <c r="K36" i="63" s="1"/>
  <c r="J33" i="63"/>
  <c r="J36" i="63" s="1"/>
  <c r="I33" i="63"/>
  <c r="I36" i="63" s="1"/>
  <c r="H33" i="63"/>
  <c r="H36" i="63" s="1"/>
  <c r="G36" i="63"/>
  <c r="N32" i="63"/>
  <c r="M32" i="63"/>
  <c r="L32" i="63"/>
  <c r="K32" i="63"/>
  <c r="J32" i="63"/>
  <c r="I32" i="63"/>
  <c r="H32" i="63"/>
  <c r="G32" i="63"/>
  <c r="N31" i="63"/>
  <c r="N38" i="63" s="1"/>
  <c r="M31" i="63"/>
  <c r="M38" i="63" s="1"/>
  <c r="L31" i="63"/>
  <c r="L38" i="63" s="1"/>
  <c r="K31" i="63"/>
  <c r="K38" i="63" s="1"/>
  <c r="J31" i="63"/>
  <c r="J38" i="63" s="1"/>
  <c r="I31" i="63"/>
  <c r="I38" i="63" s="1"/>
  <c r="H31" i="63"/>
  <c r="H38" i="63" s="1"/>
  <c r="G31" i="63"/>
  <c r="G38" i="63" s="1"/>
  <c r="P37" i="63"/>
  <c r="P35" i="63"/>
  <c r="P34" i="63"/>
  <c r="P33" i="63"/>
  <c r="P32" i="63"/>
  <c r="P31" i="63"/>
  <c r="N19" i="63"/>
  <c r="M19" i="63"/>
  <c r="L19" i="63"/>
  <c r="K19" i="63"/>
  <c r="J19" i="63"/>
  <c r="I19" i="63"/>
  <c r="H19" i="63"/>
  <c r="G19" i="63"/>
  <c r="F19" i="63"/>
  <c r="E19" i="63"/>
  <c r="P19" i="63"/>
  <c r="N16" i="63"/>
  <c r="M16" i="63"/>
  <c r="L16" i="63"/>
  <c r="K16" i="63"/>
  <c r="J16" i="63"/>
  <c r="I16" i="63"/>
  <c r="H16" i="63"/>
  <c r="G16" i="63"/>
  <c r="G20" i="63" s="1"/>
  <c r="F16" i="63"/>
  <c r="E16" i="63"/>
  <c r="P16" i="63"/>
  <c r="O37" i="63"/>
  <c r="O53" i="63"/>
  <c r="O50" i="63"/>
  <c r="O35" i="63"/>
  <c r="O34" i="63"/>
  <c r="O33" i="63"/>
  <c r="O32" i="63"/>
  <c r="O31" i="63"/>
  <c r="O19" i="63"/>
  <c r="O16" i="63"/>
  <c r="N12" i="61"/>
  <c r="N17" i="61" s="1"/>
  <c r="M12" i="61"/>
  <c r="M17" i="61" s="1"/>
  <c r="L12" i="61"/>
  <c r="K12" i="61"/>
  <c r="J12" i="61"/>
  <c r="J17" i="61" s="1"/>
  <c r="I12" i="61"/>
  <c r="I17" i="61" s="1"/>
  <c r="H12" i="61"/>
  <c r="G12" i="61"/>
  <c r="F12" i="61"/>
  <c r="F17" i="61" s="1"/>
  <c r="E12" i="61"/>
  <c r="E17" i="61" s="1"/>
  <c r="P12" i="61"/>
  <c r="N23" i="61"/>
  <c r="N33" i="61" s="1"/>
  <c r="M23" i="61"/>
  <c r="M33" i="61" s="1"/>
  <c r="L23" i="61"/>
  <c r="K23" i="61"/>
  <c r="K33" i="61" s="1"/>
  <c r="J23" i="61"/>
  <c r="J33" i="61" s="1"/>
  <c r="I23" i="61"/>
  <c r="I33" i="61" s="1"/>
  <c r="H23" i="61"/>
  <c r="G23" i="61"/>
  <c r="G33" i="61" s="1"/>
  <c r="F23" i="61"/>
  <c r="F33" i="61" s="1"/>
  <c r="E23" i="61"/>
  <c r="E33" i="61" s="1"/>
  <c r="P23" i="61"/>
  <c r="O23" i="61"/>
  <c r="O12" i="61"/>
  <c r="P29" i="62"/>
  <c r="P20" i="62"/>
  <c r="P19" i="62"/>
  <c r="P18" i="62"/>
  <c r="P15" i="62"/>
  <c r="N29" i="62"/>
  <c r="M29" i="62"/>
  <c r="L29" i="62"/>
  <c r="K29" i="62"/>
  <c r="J29" i="62"/>
  <c r="I29" i="62"/>
  <c r="H29" i="62"/>
  <c r="G29" i="62"/>
  <c r="N20" i="62"/>
  <c r="M20" i="62"/>
  <c r="L20" i="62"/>
  <c r="K20" i="62"/>
  <c r="J20" i="62"/>
  <c r="I20" i="62"/>
  <c r="H20" i="62"/>
  <c r="G20" i="62"/>
  <c r="N19" i="62"/>
  <c r="M19" i="62"/>
  <c r="L19" i="62"/>
  <c r="K19" i="62"/>
  <c r="J19" i="62"/>
  <c r="I19" i="62"/>
  <c r="H19" i="62"/>
  <c r="G19" i="62"/>
  <c r="N18" i="62"/>
  <c r="M18" i="62"/>
  <c r="M21" i="62" s="1"/>
  <c r="L18" i="62"/>
  <c r="L21" i="62" s="1"/>
  <c r="K18" i="62"/>
  <c r="K21" i="62" s="1"/>
  <c r="J18" i="62"/>
  <c r="I18" i="62"/>
  <c r="I21" i="62" s="1"/>
  <c r="H18" i="62"/>
  <c r="H21" i="62" s="1"/>
  <c r="G18" i="62"/>
  <c r="N15" i="62"/>
  <c r="M15" i="62"/>
  <c r="L15" i="62"/>
  <c r="K15" i="62"/>
  <c r="J15" i="62"/>
  <c r="I15" i="62"/>
  <c r="H15" i="62"/>
  <c r="O20" i="62"/>
  <c r="O19" i="62"/>
  <c r="O18" i="62"/>
  <c r="O29" i="62"/>
  <c r="O15" i="62"/>
  <c r="I35" i="61" l="1"/>
  <c r="O33" i="61"/>
  <c r="M35" i="61"/>
  <c r="K35" i="61"/>
  <c r="E35" i="61"/>
  <c r="J21" i="62"/>
  <c r="N21" i="62"/>
  <c r="G21" i="62"/>
  <c r="G35" i="61"/>
  <c r="P35" i="61"/>
  <c r="P17" i="61"/>
  <c r="O17" i="61"/>
  <c r="G17" i="61"/>
  <c r="L17" i="61"/>
  <c r="K17" i="61"/>
  <c r="P20" i="63"/>
  <c r="P24" i="63" s="1"/>
  <c r="P27" i="63" s="1"/>
  <c r="P21" i="62"/>
  <c r="H17" i="61"/>
  <c r="O21" i="62"/>
  <c r="O35" i="61"/>
  <c r="O54" i="63"/>
  <c r="P36" i="63"/>
  <c r="P38" i="63" s="1"/>
  <c r="O20" i="63"/>
  <c r="F35" i="61"/>
  <c r="H35" i="61"/>
  <c r="J35" i="61"/>
  <c r="L35" i="61"/>
  <c r="N35" i="61"/>
  <c r="O36" i="63"/>
  <c r="O38" i="63" s="1"/>
  <c r="M54" i="63"/>
  <c r="P54" i="63"/>
  <c r="P57" i="63" s="1"/>
  <c r="E20" i="63"/>
  <c r="E24" i="63" s="1"/>
  <c r="E27" i="63" s="1"/>
  <c r="F20" i="63"/>
  <c r="G54" i="63"/>
  <c r="H54" i="63"/>
  <c r="H20" i="63"/>
  <c r="L54" i="63"/>
  <c r="L20" i="63"/>
  <c r="I54" i="63"/>
  <c r="I20" i="63"/>
  <c r="M20" i="63"/>
  <c r="J54" i="63"/>
  <c r="J20" i="63"/>
  <c r="N54" i="63"/>
  <c r="N20" i="63"/>
  <c r="K54" i="63"/>
  <c r="K20" i="63"/>
  <c r="O24" i="63" l="1"/>
  <c r="O57" i="63"/>
  <c r="N57" i="63"/>
  <c r="L24" i="63"/>
  <c r="G24" i="63"/>
  <c r="F24" i="63"/>
  <c r="K57" i="63"/>
  <c r="J57" i="63"/>
  <c r="I24" i="63"/>
  <c r="H24" i="63"/>
  <c r="K24" i="63"/>
  <c r="N24" i="63"/>
  <c r="J24" i="63"/>
  <c r="M24" i="63"/>
  <c r="I57" i="63"/>
  <c r="L57" i="63"/>
  <c r="H57" i="63"/>
  <c r="G57" i="63"/>
  <c r="M57" i="63"/>
  <c r="H33" i="61"/>
  <c r="P33" i="61"/>
  <c r="L33" i="61"/>
  <c r="O27" i="63" l="1"/>
  <c r="M27" i="63"/>
  <c r="J27" i="63"/>
  <c r="N27" i="63"/>
  <c r="K27" i="63"/>
  <c r="H27" i="63"/>
  <c r="I27" i="63"/>
  <c r="F27" i="63"/>
  <c r="G27" i="63"/>
  <c r="L27" i="63"/>
  <c r="C48" i="59"/>
  <c r="C37" i="59"/>
  <c r="L48" i="59" l="1"/>
  <c r="K48" i="59"/>
  <c r="J48" i="59"/>
  <c r="I48" i="59"/>
  <c r="H48" i="59"/>
  <c r="G48" i="59"/>
  <c r="F48" i="59"/>
  <c r="E48" i="59"/>
  <c r="D48" i="59"/>
  <c r="N48" i="59"/>
  <c r="C41" i="59"/>
  <c r="C50" i="59" s="1"/>
  <c r="L37" i="59"/>
  <c r="L41" i="59" s="1"/>
  <c r="K37" i="59"/>
  <c r="K41" i="59" s="1"/>
  <c r="J37" i="59"/>
  <c r="J41" i="59" s="1"/>
  <c r="I37" i="59"/>
  <c r="I41" i="59" s="1"/>
  <c r="H37" i="59"/>
  <c r="H41" i="59" s="1"/>
  <c r="G37" i="59"/>
  <c r="G41" i="59" s="1"/>
  <c r="F37" i="59"/>
  <c r="F41" i="59" s="1"/>
  <c r="E37" i="59"/>
  <c r="E41" i="59" s="1"/>
  <c r="D37" i="59"/>
  <c r="D41" i="59" s="1"/>
  <c r="N37" i="59"/>
  <c r="N41" i="59" s="1"/>
  <c r="L18" i="59"/>
  <c r="L29" i="59" s="1"/>
  <c r="K18" i="59"/>
  <c r="K29" i="59" s="1"/>
  <c r="J18" i="59"/>
  <c r="J29" i="59" s="1"/>
  <c r="I18" i="59"/>
  <c r="I29" i="59" s="1"/>
  <c r="H18" i="59"/>
  <c r="H29" i="59" s="1"/>
  <c r="E29" i="59"/>
  <c r="D29" i="59"/>
  <c r="C18" i="59"/>
  <c r="C29" i="59" s="1"/>
  <c r="N18" i="59"/>
  <c r="N29" i="59" s="1"/>
  <c r="M48" i="59"/>
  <c r="M37" i="59"/>
  <c r="M41" i="59" s="1"/>
  <c r="M18" i="59"/>
  <c r="M29" i="59" s="1"/>
  <c r="F50" i="59" l="1"/>
  <c r="J50" i="59"/>
  <c r="G50" i="59"/>
  <c r="K50" i="59"/>
  <c r="D50" i="59"/>
  <c r="N50" i="59"/>
  <c r="M50" i="59"/>
  <c r="E50" i="59"/>
  <c r="I50" i="59"/>
  <c r="H50" i="59"/>
  <c r="L50" i="59"/>
  <c r="P59" i="57" l="1"/>
  <c r="O59" i="57"/>
  <c r="N59" i="57"/>
  <c r="M59" i="57"/>
  <c r="L59" i="57"/>
  <c r="K59" i="57"/>
  <c r="J59" i="57"/>
  <c r="I59" i="57"/>
  <c r="H59" i="57"/>
  <c r="G59" i="57"/>
  <c r="F59" i="57"/>
  <c r="P58" i="57"/>
  <c r="O58" i="57"/>
  <c r="N58" i="57"/>
  <c r="M58" i="57"/>
  <c r="L58" i="57"/>
  <c r="K58" i="57"/>
  <c r="J58" i="57"/>
  <c r="I58" i="57"/>
  <c r="H58" i="57"/>
  <c r="G58" i="57"/>
  <c r="F58" i="57"/>
  <c r="O97" i="57" l="1"/>
  <c r="N97" i="57"/>
  <c r="M97" i="57"/>
  <c r="L97" i="57"/>
  <c r="K97" i="57"/>
  <c r="J97" i="57"/>
  <c r="I97" i="57"/>
  <c r="H97" i="57"/>
  <c r="G97" i="57"/>
  <c r="F97" i="57"/>
  <c r="E97" i="57"/>
  <c r="O95" i="57"/>
  <c r="N95" i="57"/>
  <c r="M95" i="57"/>
  <c r="L95" i="57"/>
  <c r="K95" i="57"/>
  <c r="J95" i="57"/>
  <c r="I95" i="57"/>
  <c r="H95" i="57"/>
  <c r="G95" i="57"/>
  <c r="F95" i="57"/>
  <c r="E95" i="57"/>
  <c r="O92" i="57"/>
  <c r="N92" i="57"/>
  <c r="M92" i="57"/>
  <c r="L92" i="57"/>
  <c r="K92" i="57"/>
  <c r="J92" i="57"/>
  <c r="I92" i="57"/>
  <c r="H92" i="57"/>
  <c r="G92" i="57"/>
  <c r="F92" i="57"/>
  <c r="E92" i="57"/>
  <c r="O91" i="57"/>
  <c r="N91" i="57"/>
  <c r="M91" i="57"/>
  <c r="L91" i="57"/>
  <c r="K91" i="57"/>
  <c r="J91" i="57"/>
  <c r="I91" i="57"/>
  <c r="H91" i="57"/>
  <c r="G91" i="57"/>
  <c r="F91" i="57"/>
  <c r="E91" i="57"/>
  <c r="P83" i="57"/>
  <c r="O83" i="57"/>
  <c r="N83" i="57"/>
  <c r="M83" i="57"/>
  <c r="L83" i="57"/>
  <c r="K83" i="57"/>
  <c r="J83" i="57"/>
  <c r="I83" i="57"/>
  <c r="H83" i="57"/>
  <c r="G83" i="57"/>
  <c r="F83" i="57"/>
  <c r="E83" i="57"/>
  <c r="P82" i="57"/>
  <c r="O82" i="57"/>
  <c r="N82" i="57"/>
  <c r="M82" i="57"/>
  <c r="L82" i="57"/>
  <c r="K82" i="57"/>
  <c r="J82" i="57"/>
  <c r="I82" i="57"/>
  <c r="H82" i="57"/>
  <c r="G82" i="57"/>
  <c r="F82" i="57"/>
  <c r="O53" i="57"/>
  <c r="N53" i="57"/>
  <c r="M53" i="57"/>
  <c r="L53" i="57"/>
  <c r="K53" i="57"/>
  <c r="J53" i="57"/>
  <c r="I53" i="57"/>
  <c r="H53" i="57"/>
  <c r="G53" i="57"/>
  <c r="F53" i="57"/>
  <c r="O51" i="57"/>
  <c r="N51" i="57"/>
  <c r="M51" i="57"/>
  <c r="L51" i="57"/>
  <c r="K51" i="57"/>
  <c r="J51" i="57"/>
  <c r="I51" i="57"/>
  <c r="H51" i="57"/>
  <c r="G51" i="57"/>
  <c r="F51" i="57"/>
  <c r="O48" i="57"/>
  <c r="N48" i="57"/>
  <c r="M48" i="57"/>
  <c r="L48" i="57"/>
  <c r="K48" i="57"/>
  <c r="J48" i="57"/>
  <c r="I48" i="57"/>
  <c r="H48" i="57"/>
  <c r="G48" i="57"/>
  <c r="F48" i="57"/>
  <c r="O47" i="57"/>
  <c r="N47" i="57"/>
  <c r="M47" i="57"/>
  <c r="L47" i="57"/>
  <c r="K47" i="57"/>
  <c r="J47" i="57"/>
  <c r="I47" i="57"/>
  <c r="H47" i="57"/>
  <c r="G47" i="57"/>
  <c r="F47" i="57"/>
  <c r="O46" i="57"/>
  <c r="N46" i="57"/>
  <c r="M46" i="57"/>
  <c r="L46" i="57"/>
  <c r="K46" i="57"/>
  <c r="J46" i="57"/>
  <c r="I46" i="57"/>
  <c r="H46" i="57"/>
  <c r="G46" i="57"/>
  <c r="F46" i="57"/>
  <c r="O45" i="57"/>
  <c r="N45" i="57"/>
  <c r="M45" i="57"/>
  <c r="L45" i="57"/>
  <c r="K45" i="57"/>
  <c r="J45" i="57"/>
  <c r="I45" i="57"/>
  <c r="H45" i="57"/>
  <c r="G45" i="57"/>
  <c r="F45" i="57"/>
  <c r="O44" i="57"/>
  <c r="N44" i="57"/>
  <c r="M44" i="57"/>
  <c r="L44" i="57"/>
  <c r="K44" i="57"/>
  <c r="J44" i="57"/>
  <c r="I44" i="57"/>
  <c r="H44" i="57"/>
  <c r="G44" i="57"/>
  <c r="F44" i="57"/>
  <c r="E53" i="57"/>
  <c r="E51" i="57"/>
  <c r="E48" i="57"/>
  <c r="E47" i="57"/>
  <c r="E46" i="57"/>
  <c r="E45" i="57"/>
  <c r="E44" i="57"/>
  <c r="P37" i="57"/>
  <c r="O37" i="57"/>
  <c r="N37" i="57"/>
  <c r="M37" i="57"/>
  <c r="L37" i="57"/>
  <c r="K37" i="57"/>
  <c r="J37" i="57"/>
  <c r="I37" i="57"/>
  <c r="H37" i="57"/>
  <c r="G37" i="57"/>
  <c r="F37" i="57"/>
  <c r="P36" i="57"/>
  <c r="O36" i="57"/>
  <c r="N36" i="57"/>
  <c r="M36" i="57"/>
  <c r="L36" i="57"/>
  <c r="K36" i="57"/>
  <c r="J36" i="57"/>
  <c r="I36" i="57"/>
  <c r="H36" i="57"/>
  <c r="G36" i="57"/>
  <c r="F36" i="57"/>
  <c r="E37" i="57"/>
  <c r="F93" i="57" l="1"/>
  <c r="H93" i="57"/>
  <c r="J93" i="57"/>
  <c r="L93" i="57"/>
  <c r="N93" i="57"/>
  <c r="E93" i="57"/>
  <c r="G93" i="57"/>
  <c r="I93" i="57"/>
  <c r="K93" i="57"/>
  <c r="M93" i="57"/>
  <c r="O93" i="57"/>
  <c r="F94" i="57"/>
  <c r="H94" i="57"/>
  <c r="J94" i="57"/>
  <c r="L94" i="57"/>
  <c r="N94" i="57"/>
  <c r="E94" i="57"/>
  <c r="G94" i="57"/>
  <c r="I94" i="57"/>
  <c r="K94" i="57"/>
  <c r="M94" i="57"/>
  <c r="O94" i="57"/>
  <c r="F49" i="57" l="1"/>
  <c r="F50" i="57"/>
  <c r="H49" i="57"/>
  <c r="J49" i="57"/>
  <c r="J50" i="57"/>
  <c r="L49" i="57"/>
  <c r="N49" i="57"/>
  <c r="N50" i="57"/>
  <c r="E49" i="57"/>
  <c r="G49" i="57"/>
  <c r="I49" i="57"/>
  <c r="I50" i="57"/>
  <c r="K49" i="57"/>
  <c r="K50" i="57"/>
  <c r="M49" i="57"/>
  <c r="O49" i="57"/>
  <c r="O50" i="57"/>
  <c r="F23" i="57"/>
  <c r="N23" i="57"/>
  <c r="I23" i="57"/>
  <c r="O23" i="57"/>
  <c r="M73" i="57"/>
  <c r="M96" i="57" s="1"/>
  <c r="I73" i="57"/>
  <c r="I96" i="57" s="1"/>
  <c r="E73" i="57"/>
  <c r="E96" i="57" s="1"/>
  <c r="N73" i="57"/>
  <c r="N96" i="57" s="1"/>
  <c r="J73" i="57"/>
  <c r="J96" i="57" s="1"/>
  <c r="F73" i="57"/>
  <c r="F96" i="57" s="1"/>
  <c r="O73" i="57"/>
  <c r="K73" i="57"/>
  <c r="K96" i="57" s="1"/>
  <c r="G73" i="57"/>
  <c r="G96" i="57" s="1"/>
  <c r="L73" i="57"/>
  <c r="L96" i="57" s="1"/>
  <c r="H73" i="57"/>
  <c r="H96" i="57" s="1"/>
  <c r="O96" i="57" l="1"/>
  <c r="K23" i="57"/>
  <c r="K25" i="57" s="1"/>
  <c r="J23" i="57"/>
  <c r="J25" i="57" s="1"/>
  <c r="E50" i="57"/>
  <c r="O25" i="57"/>
  <c r="O52" i="57"/>
  <c r="I25" i="57"/>
  <c r="I52" i="57"/>
  <c r="N25" i="57"/>
  <c r="N52" i="57"/>
  <c r="F25" i="57"/>
  <c r="F52" i="57"/>
  <c r="M23" i="57"/>
  <c r="M50" i="57"/>
  <c r="H23" i="57"/>
  <c r="H50" i="57"/>
  <c r="L23" i="57"/>
  <c r="L50" i="57"/>
  <c r="G23" i="57"/>
  <c r="G50" i="57"/>
  <c r="H75" i="57"/>
  <c r="H98" i="57" s="1"/>
  <c r="L75" i="57"/>
  <c r="L98" i="57" s="1"/>
  <c r="G75" i="57"/>
  <c r="G98" i="57" s="1"/>
  <c r="K75" i="57"/>
  <c r="K98" i="57" s="1"/>
  <c r="O75" i="57"/>
  <c r="F75" i="57"/>
  <c r="F98" i="57" s="1"/>
  <c r="J75" i="57"/>
  <c r="J98" i="57" s="1"/>
  <c r="N75" i="57"/>
  <c r="N98" i="57" s="1"/>
  <c r="E75" i="57"/>
  <c r="E98" i="57" s="1"/>
  <c r="I75" i="57"/>
  <c r="I98" i="57" s="1"/>
  <c r="M75" i="57"/>
  <c r="M98" i="57" s="1"/>
  <c r="O98" i="57" l="1"/>
  <c r="J52" i="57"/>
  <c r="K52" i="57"/>
  <c r="F54" i="57"/>
  <c r="J54" i="57"/>
  <c r="N54" i="57"/>
  <c r="I54" i="57"/>
  <c r="K54" i="57"/>
  <c r="O54" i="57"/>
  <c r="L25" i="57"/>
  <c r="L52" i="57"/>
  <c r="H25" i="57"/>
  <c r="H52" i="57"/>
  <c r="E25" i="57"/>
  <c r="E52" i="57"/>
  <c r="G25" i="57"/>
  <c r="G52" i="57"/>
  <c r="M25" i="57"/>
  <c r="M52" i="57"/>
  <c r="G54" i="57" l="1"/>
  <c r="H54" i="57"/>
  <c r="M54" i="57"/>
  <c r="E54" i="57"/>
  <c r="L54" i="57"/>
</calcChain>
</file>

<file path=xl/sharedStrings.xml><?xml version="1.0" encoding="utf-8"?>
<sst xmlns="http://schemas.openxmlformats.org/spreadsheetml/2006/main" count="1404" uniqueCount="309">
  <si>
    <t>Total operating expenses</t>
  </si>
  <si>
    <t>Operating income (loss)</t>
  </si>
  <si>
    <t>Net income (loss)</t>
  </si>
  <si>
    <t>Q1</t>
  </si>
  <si>
    <t>Q2</t>
  </si>
  <si>
    <t>Q3</t>
  </si>
  <si>
    <t>Q4</t>
  </si>
  <si>
    <t>ASSETS</t>
  </si>
  <si>
    <t>Goodwill</t>
  </si>
  <si>
    <t>Other assets</t>
  </si>
  <si>
    <t>Other liabilities</t>
  </si>
  <si>
    <t>Capital expenditures</t>
  </si>
  <si>
    <t>Deferred income taxes, net</t>
  </si>
  <si>
    <t xml:space="preserve">      Total current assets</t>
  </si>
  <si>
    <t>Current assets:</t>
  </si>
  <si>
    <t>Property and equipment, net</t>
  </si>
  <si>
    <t>LIABILITIES AND STOCKHOLDERS' EQUITY</t>
  </si>
  <si>
    <t>Current liabilities:</t>
  </si>
  <si>
    <t xml:space="preserve">      Total liabilities</t>
  </si>
  <si>
    <t>Common stock</t>
  </si>
  <si>
    <t xml:space="preserve">      TOTAL ASSETS</t>
  </si>
  <si>
    <t xml:space="preserve">      Total current liabilities</t>
  </si>
  <si>
    <t xml:space="preserve">      Total stockholders' equity</t>
  </si>
  <si>
    <t xml:space="preserve">      TOTAL LIABILITIES AND STOCKHOLEDERS' EQUITY</t>
  </si>
  <si>
    <t>(in millions, except per share data)</t>
  </si>
  <si>
    <t>Three Months Ended March 31, 2010</t>
  </si>
  <si>
    <t>Three Months Ended December 31, 2009</t>
  </si>
  <si>
    <t>Three Months Ended September 30, 2009</t>
  </si>
  <si>
    <t xml:space="preserve">Unaudited Condensed Consolidated Statements of Operations </t>
  </si>
  <si>
    <t>Non-GAAP Income Statements</t>
  </si>
  <si>
    <t>(in millions)</t>
  </si>
  <si>
    <t>Unaudited Condensed Consolidated Balance Sheets</t>
  </si>
  <si>
    <t>GAAP earnings (loss) per share</t>
  </si>
  <si>
    <t>Number of shares used in computation</t>
  </si>
  <si>
    <t>Basic</t>
  </si>
  <si>
    <t>Diluted</t>
  </si>
  <si>
    <t>Non-GAAP Financial Measures</t>
  </si>
  <si>
    <t>Three Months Ended September 30, 2010</t>
  </si>
  <si>
    <t>GAAP Income Statements - as a % of Revenue</t>
  </si>
  <si>
    <t>Three Months Ended December 31, 2010</t>
  </si>
  <si>
    <t>Retained earnings (accumulated deficit)</t>
  </si>
  <si>
    <t>Three Months Ended March 31, 2011</t>
  </si>
  <si>
    <t>ACTIVISION BLIZZARD INC.</t>
  </si>
  <si>
    <t>CY08</t>
  </si>
  <si>
    <t>CY09</t>
  </si>
  <si>
    <t>CY10</t>
  </si>
  <si>
    <t>CY11</t>
  </si>
  <si>
    <t>Product development</t>
  </si>
  <si>
    <t>Sales and marketing</t>
  </si>
  <si>
    <t>General and administrative</t>
  </si>
  <si>
    <t>Restructuring</t>
  </si>
  <si>
    <t>Impairment of intangible assets</t>
  </si>
  <si>
    <t>Income (loss) before income tax expense</t>
  </si>
  <si>
    <t>Income tax (benefit) expense</t>
  </si>
  <si>
    <t xml:space="preserve">Less:  Net effect from deferral in net revenues and related cost of sales </t>
  </si>
  <si>
    <t>Less:  Stock-based compensation</t>
  </si>
  <si>
    <t>Less:  Restructuring</t>
  </si>
  <si>
    <t>Less:  Amortization of intangible assets and purchase price accounting related adjustments</t>
  </si>
  <si>
    <t>Less:  Impairment of intangible assets</t>
  </si>
  <si>
    <t>Less:  Costs related to the Business Combination, integration and restructuring</t>
  </si>
  <si>
    <t>Cash and cash equivalents</t>
  </si>
  <si>
    <t>Short-term investments</t>
  </si>
  <si>
    <t xml:space="preserve">Accounts receivable, net </t>
  </si>
  <si>
    <t>Software development</t>
  </si>
  <si>
    <t>Intellectual property licenses</t>
  </si>
  <si>
    <t>Other current assets</t>
  </si>
  <si>
    <t>Long-term investments</t>
  </si>
  <si>
    <t>Intangible assets, net</t>
  </si>
  <si>
    <t>Trademark and trade names</t>
  </si>
  <si>
    <t>Accounts payable</t>
  </si>
  <si>
    <t>Deferred revenues</t>
  </si>
  <si>
    <t>Accrued expenses and other liabilities</t>
  </si>
  <si>
    <t>Additional paid-in capital</t>
  </si>
  <si>
    <t>Treasury stock</t>
  </si>
  <si>
    <t>Deferred income taxes</t>
  </si>
  <si>
    <t>In this model, Activision Blizzard has provided a reconciliation of the most comparable GAAP financial measure to the historical non-GAAP measures.  Please refer to the reconciliation tables that follow.  </t>
  </si>
  <si>
    <t>ACTIVISION BLIZZARD, INC. AND SUBSIDIARIES</t>
  </si>
  <si>
    <t>(Amounts in millions)</t>
  </si>
  <si>
    <t>Segment net revenues:</t>
  </si>
  <si>
    <t>Operating segment total</t>
  </si>
  <si>
    <t>Reconciliation to consolidated net revenues:</t>
  </si>
  <si>
    <t>Net effect from deferral of net revenues</t>
  </si>
  <si>
    <t>Consolidated net revenues</t>
  </si>
  <si>
    <t>Segment income (loss) from operations:</t>
  </si>
  <si>
    <t>Net effect from deferral of net revenues and related cost of sales</t>
  </si>
  <si>
    <t>Stock-based compensation expense</t>
  </si>
  <si>
    <t xml:space="preserve">Restructuring </t>
  </si>
  <si>
    <t>Amortization of intangible assets and purchase price accounting related adjustments</t>
  </si>
  <si>
    <t>Integration and transactions costs</t>
  </si>
  <si>
    <t>Operating margin from total operating segments</t>
  </si>
  <si>
    <t>GAAP Net Revenues by Geographic Region</t>
  </si>
  <si>
    <t>North America</t>
  </si>
  <si>
    <t>Europe</t>
  </si>
  <si>
    <t>Asia Pacific</t>
  </si>
  <si>
    <t xml:space="preserve">Total consolidated GAAP net revenues </t>
  </si>
  <si>
    <t>Total changes in net revenues</t>
  </si>
  <si>
    <t>Non-GAAP Net Revenues by Geographic Region</t>
  </si>
  <si>
    <t>Total consolidated GAAP net revenues</t>
  </si>
  <si>
    <t>GAAP Net Revenues by Segment/Platform Mix</t>
  </si>
  <si>
    <t>Activision and Blizzard:</t>
  </si>
  <si>
    <t>Sony PlayStation  3</t>
  </si>
  <si>
    <t>Microsoft Xbox 360</t>
  </si>
  <si>
    <t>Total handheld</t>
  </si>
  <si>
    <t>Total Activision and Blizzard</t>
  </si>
  <si>
    <t>Distribution:</t>
  </si>
  <si>
    <t>Total Distribution</t>
  </si>
  <si>
    <t>Total changes in deferred net revenues</t>
  </si>
  <si>
    <t>Non-GAAP Net Revenues by Segment/Platform Mix</t>
  </si>
  <si>
    <t xml:space="preserve">Total Activision and Blizzard </t>
  </si>
  <si>
    <t>Online subscriptions*</t>
  </si>
  <si>
    <t>(Amounts in millions, except earnings per share data)</t>
  </si>
  <si>
    <t>Net Revenues</t>
  </si>
  <si>
    <t>Cost of Sales - Product Costs</t>
  </si>
  <si>
    <t>Cost of Sales - Software Royalties and Amortization</t>
  </si>
  <si>
    <t>Cost of Sales - Intellectual Property Licenses</t>
  </si>
  <si>
    <t>Product Development</t>
  </si>
  <si>
    <t>Sales and Marketing</t>
  </si>
  <si>
    <t>General and Administrative</t>
  </si>
  <si>
    <t>Total Costs and Expenses</t>
  </si>
  <si>
    <t>GAAP Measurement</t>
  </si>
  <si>
    <t/>
  </si>
  <si>
    <t>(a)</t>
  </si>
  <si>
    <t>(b)</t>
  </si>
  <si>
    <t>(c)</t>
  </si>
  <si>
    <t>(e)</t>
  </si>
  <si>
    <t>Non-GAAP Measurement</t>
  </si>
  <si>
    <t>Operating Income (Loss)</t>
  </si>
  <si>
    <t>Net Income (Loss)</t>
  </si>
  <si>
    <t>Basic Earnings (Loss) per Share</t>
  </si>
  <si>
    <t>Diluted Earnings (Loss) per Share</t>
  </si>
  <si>
    <t>Less:  Restructuring (included in general and administrative)</t>
  </si>
  <si>
    <t>(d)</t>
  </si>
  <si>
    <t>Operating Income</t>
  </si>
  <si>
    <t>Net Income</t>
  </si>
  <si>
    <t>Basic Earnings per Share</t>
  </si>
  <si>
    <t>Diluted Earnings per Share</t>
  </si>
  <si>
    <t>(a) Reflects the net change in deferred net revenues and related cost of sales.</t>
  </si>
  <si>
    <t xml:space="preserve">(b) Includes expense related to stock-based compensation.  </t>
  </si>
  <si>
    <t>(c) Reflects restructuring related to our Activision Publishing operations.</t>
  </si>
  <si>
    <t>The per share adjustments are presented as calculated, and the GAAP and non-GAAP earnings per share information is also presented as calculated. The sum of these measures, as presented, may differ due to the impact of rounding.</t>
  </si>
  <si>
    <t>Impairment of Intangible Assets</t>
  </si>
  <si>
    <t>Less:  Results of Activision Blizzard's non-core exit operations</t>
  </si>
  <si>
    <t xml:space="preserve">(c) </t>
  </si>
  <si>
    <t xml:space="preserve"> Less:  Amortization of intangible assets and purchase price accounting related adjustments</t>
  </si>
  <si>
    <t>(b) Includes expense related to stock-based compensation.</t>
  </si>
  <si>
    <t>(c) Reflects the results of products and operations from the historical Vivendi Games businesses that the company has exited, divested or wound down.</t>
  </si>
  <si>
    <t>(d) Reflects costs related to the Business Combination with Vivendi Games (including transaction costs, integration costs and restructuring activities). Restructuring activities includes severance costs, facility exit costs and balance sheet write down and exit costs from the cancellation of projects.</t>
  </si>
  <si>
    <t>(e) Reflects amortization of intangible assets, and the change in the fair value of assets and liabilities from purchase price accounting related adjustments.</t>
  </si>
  <si>
    <t>Three months ended June 30, 2010</t>
  </si>
  <si>
    <t>Less:  Stock-based compensation (including purchase price accounting related adjustments)</t>
  </si>
  <si>
    <t>Less:  Amortization of intangible assets</t>
  </si>
  <si>
    <t>(d) Reflects amortization of intangible assets.</t>
  </si>
  <si>
    <t>Three months ended June 30, 2009</t>
  </si>
  <si>
    <t xml:space="preserve">Basic </t>
  </si>
  <si>
    <t>Three months ended March 31, 2009</t>
  </si>
  <si>
    <t>Other</t>
  </si>
  <si>
    <t>•• expenses related to stock-based compensation;</t>
  </si>
  <si>
    <t>•• the income tax adjustments associated with any of the above items.</t>
  </si>
  <si>
    <t>Non-GAAP Income Statements - as a % of Revenue</t>
  </si>
  <si>
    <t>GAAP Income Statements</t>
  </si>
  <si>
    <t>Non-GAAP earnings (loss) per share</t>
  </si>
  <si>
    <t>Total net revenues core operations</t>
  </si>
  <si>
    <t>Activision Blizzard’s non-core exit operations</t>
  </si>
  <si>
    <t>ACTIVISION BLIZZARD, INC. AND SUBSIDIARIES</t>
  </si>
  <si>
    <t xml:space="preserve">For the Years Ended December 31, </t>
  </si>
  <si>
    <t>Cash flows from operating activities:</t>
  </si>
  <si>
    <t>Adjustments to reconcile net income (loss) to net cash provided by operating activities:</t>
  </si>
  <si>
    <t>Depreciation and amortization</t>
  </si>
  <si>
    <t>Loss on disposal of property and equipment</t>
  </si>
  <si>
    <t>Amortization and write-off of capitalized software development costs and intellectual property licenses (1)</t>
  </si>
  <si>
    <t>Stock-based compensation expense (2)</t>
  </si>
  <si>
    <t>Excess tax benefits from stock option exercises</t>
  </si>
  <si>
    <t>Changes in operating assets and liabilities:</t>
  </si>
  <si>
    <t>Software development and intellectual property licenses</t>
  </si>
  <si>
    <t>Net cash provided by operating activities</t>
  </si>
  <si>
    <t>Cash flows from investing activities:</t>
  </si>
  <si>
    <t>—</t>
  </si>
  <si>
    <t>Proceeds from sale of available-for-sale investments</t>
  </si>
  <si>
    <t>Payment of contingent consideration</t>
  </si>
  <si>
    <t>Purchases of available-for-sale investments</t>
  </si>
  <si>
    <t>Cash flows from financing activities:</t>
  </si>
  <si>
    <t>Proceeds from issuance of common stock to employees</t>
  </si>
  <si>
    <t>Repurchase of common stock</t>
  </si>
  <si>
    <t>Dividends paid</t>
  </si>
  <si>
    <t>Effect of foreign exchange rate changes on cash and cash equivalents</t>
  </si>
  <si>
    <t>Cash and cash equivalents at beginning of period</t>
  </si>
  <si>
    <t>Cash and cash equivalents at end of period</t>
  </si>
  <si>
    <t>(c) Reflects restructuring related to the Business Combination with Vivendi Games.  Restructuring activities include severance costs, facility exit costs and balance sheet write down and exit costs from the cancellation of projects.</t>
  </si>
  <si>
    <t xml:space="preserve">Less:  Amortization of intangible assets </t>
  </si>
  <si>
    <t>(f)</t>
  </si>
  <si>
    <t>(f) Reflects impairment of intangible assets acquired as a result of purchase price accounting.</t>
  </si>
  <si>
    <t>(d) Reflects amortization of intangible assets from purchase price accounting.</t>
  </si>
  <si>
    <r>
      <t xml:space="preserve">Activision </t>
    </r>
    <r>
      <rPr>
        <vertAlign val="superscript"/>
        <sz val="9"/>
        <rFont val="Arial"/>
        <family val="2"/>
      </rPr>
      <t>(i)</t>
    </r>
  </si>
  <si>
    <r>
      <t xml:space="preserve">Blizzard </t>
    </r>
    <r>
      <rPr>
        <vertAlign val="superscript"/>
        <sz val="9"/>
        <rFont val="Arial"/>
        <family val="2"/>
      </rPr>
      <t>(ii)</t>
    </r>
  </si>
  <si>
    <r>
      <t xml:space="preserve">Distribution </t>
    </r>
    <r>
      <rPr>
        <vertAlign val="superscript"/>
        <sz val="9"/>
        <rFont val="Arial"/>
        <family val="2"/>
      </rPr>
      <t>(iii)</t>
    </r>
  </si>
  <si>
    <r>
      <t xml:space="preserve">Other </t>
    </r>
    <r>
      <rPr>
        <vertAlign val="superscript"/>
        <sz val="9"/>
        <rFont val="Arial"/>
        <family val="2"/>
      </rPr>
      <t>(iv)</t>
    </r>
  </si>
  <si>
    <r>
      <t xml:space="preserve">Change in Deferred Net Revenues </t>
    </r>
    <r>
      <rPr>
        <b/>
        <vertAlign val="superscript"/>
        <sz val="9"/>
        <rFont val="Arial"/>
        <family val="2"/>
      </rPr>
      <t>1</t>
    </r>
  </si>
  <si>
    <r>
      <t xml:space="preserve">Activision Blizzard’s non-core exit operations </t>
    </r>
    <r>
      <rPr>
        <b/>
        <vertAlign val="superscript"/>
        <sz val="9"/>
        <color theme="1"/>
        <rFont val="Arial"/>
        <family val="2"/>
      </rPr>
      <t>1</t>
    </r>
  </si>
  <si>
    <r>
      <t xml:space="preserve">Total non-GAAP net revenues </t>
    </r>
    <r>
      <rPr>
        <vertAlign val="superscript"/>
        <sz val="9"/>
        <rFont val="Arial"/>
        <family val="2"/>
      </rPr>
      <t>2</t>
    </r>
  </si>
  <si>
    <r>
      <t>1</t>
    </r>
    <r>
      <rPr>
        <sz val="9"/>
        <rFont val="Arial"/>
        <family val="2"/>
      </rPr>
      <t xml:space="preserve"> We provide net revenues including (in accordance with GAAP) and excluding (non-GAAP) the impact of changes in deferred net revenues.</t>
    </r>
  </si>
  <si>
    <r>
      <t>2</t>
    </r>
    <r>
      <rPr>
        <sz val="9"/>
        <rFont val="Arial"/>
        <family val="2"/>
      </rPr>
      <t xml:space="preserve"> Total non-GAAP net revenues presented also represents our total operating segment net revenues.</t>
    </r>
  </si>
  <si>
    <t xml:space="preserve">Retail channels </t>
  </si>
  <si>
    <t xml:space="preserve">Digital online channels* </t>
  </si>
  <si>
    <t xml:space="preserve">Distribution </t>
  </si>
  <si>
    <t xml:space="preserve">Total changes in deferred net revenues </t>
  </si>
  <si>
    <t>Total non-GAAP net revenues (2)</t>
  </si>
  <si>
    <t>(1) We provide net revenues including (in accordance with GAAP) and excluding (non-GAAP) the impact of changes in deferred net revenues.</t>
  </si>
  <si>
    <t>(2) Total non-GAAP net revenues presented also represents our total operating segment net revenues.</t>
  </si>
  <si>
    <r>
      <t>GAAP Net Revenues by Distribution Channel</t>
    </r>
    <r>
      <rPr>
        <sz val="9"/>
        <color theme="1"/>
        <rFont val="Arial"/>
        <family val="2"/>
      </rPr>
      <t xml:space="preserve"> </t>
    </r>
  </si>
  <si>
    <r>
      <t>Non-GAAP Net Revenues by Distribution Channel</t>
    </r>
    <r>
      <rPr>
        <sz val="9"/>
        <color theme="1"/>
        <rFont val="Arial"/>
        <family val="2"/>
      </rPr>
      <t xml:space="preserve"> </t>
    </r>
  </si>
  <si>
    <r>
      <t xml:space="preserve">Change in Deferred Net Revenues </t>
    </r>
    <r>
      <rPr>
        <sz val="9"/>
        <color theme="1"/>
        <rFont val="Arial"/>
        <family val="2"/>
      </rPr>
      <t>(1)</t>
    </r>
  </si>
  <si>
    <t>(1) Excludes deferral and amortization of stock-based compensation expense.</t>
  </si>
  <si>
    <t xml:space="preserve">(2) Includes the net effects of capitalization, deferral, and amortization of stock-based compensation expense. </t>
  </si>
  <si>
    <t>•• Activision Blizzard’s non-core exit operations (which are the operating results of products and operations of the historical Vivendi Games, Inc. businesses that the company has exited or substantially wound down);</t>
  </si>
  <si>
    <t>Total costs and expenses</t>
  </si>
  <si>
    <t>Costs and expenses:</t>
  </si>
  <si>
    <t>Net revenues</t>
  </si>
  <si>
    <t>Cash Flow Data</t>
  </si>
  <si>
    <t>Operating Cash Flow</t>
  </si>
  <si>
    <t>Three Months Ended June 30, 2011</t>
  </si>
  <si>
    <r>
      <t>•• one-time costs related to the Business Combination</t>
    </r>
    <r>
      <rPr>
        <vertAlign val="superscript"/>
        <sz val="10.5"/>
        <color indexed="8"/>
        <rFont val="Arial"/>
        <family val="2"/>
      </rPr>
      <t>1</t>
    </r>
    <r>
      <rPr>
        <sz val="10.5"/>
        <color indexed="8"/>
        <rFont val="Arial"/>
        <family val="2"/>
      </rPr>
      <t xml:space="preserve"> between Activision, Inc. and Vivendi Games, Inc. (including transaction costs, integration costs, and restructuring activities); </t>
    </r>
  </si>
  <si>
    <t>Accumulated other comprehensive income (loss)</t>
  </si>
  <si>
    <t>Total console^</t>
  </si>
  <si>
    <t>The historical financial information is provided herein for reference only.  Please refer to the financial statements included in Activision Blizzard’s filings with the SEC. The historical financial information contained herein represents the first quarter after the commencement of the Business Combination and is considered most comparable to all periods presented.</t>
  </si>
  <si>
    <t>Cost of sales - software royalties and amortization</t>
  </si>
  <si>
    <t>Cost of sales - intellectual property licenses</t>
  </si>
  <si>
    <t>Cost of sales - product costs</t>
  </si>
  <si>
    <t xml:space="preserve">Certain reclassifications have been made to prior period amounts to conform to the current period presentation. </t>
  </si>
  <si>
    <r>
      <t>Q3</t>
    </r>
    <r>
      <rPr>
        <b/>
        <vertAlign val="superscript"/>
        <sz val="9"/>
        <rFont val="Arial"/>
        <family val="2"/>
      </rPr>
      <t>(i)</t>
    </r>
  </si>
  <si>
    <r>
      <t>Q3</t>
    </r>
    <r>
      <rPr>
        <b/>
        <vertAlign val="superscript"/>
        <sz val="9"/>
        <rFont val="Arial"/>
        <family val="2"/>
      </rPr>
      <t>(v)</t>
    </r>
  </si>
  <si>
    <t>TTM</t>
  </si>
  <si>
    <r>
      <rPr>
        <vertAlign val="superscript"/>
        <sz val="10"/>
        <color theme="1"/>
        <rFont val="Arial"/>
        <family val="2"/>
      </rPr>
      <t>(i)</t>
    </r>
    <r>
      <rPr>
        <sz val="10"/>
        <color theme="1"/>
        <rFont val="Arial"/>
        <family val="2"/>
      </rPr>
      <t xml:space="preserve"> Results of Activision Blizzard for the period from July 9, 2008 (commencement of the Business Combination) to September 30, 2008 and Vivendi Games for period from</t>
    </r>
  </si>
  <si>
    <t xml:space="preserve">    from July 1, 2008 to July 8, 2008.</t>
  </si>
  <si>
    <t xml:space="preserve">    July 1, 2008 to July 8, 2008.</t>
  </si>
  <si>
    <r>
      <rPr>
        <vertAlign val="superscript"/>
        <sz val="9"/>
        <rFont val="Arial"/>
        <family val="2"/>
      </rPr>
      <t>(ii)</t>
    </r>
    <r>
      <rPr>
        <sz val="9"/>
        <rFont val="Arial"/>
        <family val="2"/>
      </rPr>
      <t xml:space="preserve"> Blizzard —  Blizzard Entertainment, Inc. and its subsidiaries (“Blizzard”) publishes games and online subscription-based games in the MMORPG category.</t>
    </r>
  </si>
  <si>
    <r>
      <rPr>
        <vertAlign val="superscript"/>
        <sz val="9"/>
        <rFont val="Arial"/>
        <family val="2"/>
      </rPr>
      <t>(iii)</t>
    </r>
    <r>
      <rPr>
        <sz val="9"/>
        <rFont val="Arial"/>
        <family val="2"/>
      </rPr>
      <t xml:space="preserve"> Activision Blizzard Distribution (“Distribution”) — distributes interactive entertainment software and hardware products.</t>
    </r>
  </si>
  <si>
    <r>
      <rPr>
        <vertAlign val="superscript"/>
        <sz val="9"/>
        <rFont val="Arial"/>
        <family val="2"/>
      </rPr>
      <t>(iv)</t>
    </r>
    <r>
      <rPr>
        <sz val="9"/>
        <rFont val="Arial"/>
        <family val="2"/>
      </rPr>
      <t xml:space="preserve"> Other represents Non-Core activities, which are legacy Vivendi Games’ divisions or business units that we have exited, divested or wound down as part of our restructuring and integration efforts as a result of the Business Combination. Prior to July 1, 2009, Non-Core activities were managed as a stand alone operating segment; however, in light of the minimal activities and insignificance of Non-Core activities, as of that date we ceased their management as a separate operating segment and consequently, we are no longer providing separate operating segment disclosure.</t>
    </r>
  </si>
  <si>
    <t>Three Months Ended September 30, 2011</t>
  </si>
  <si>
    <r>
      <rPr>
        <vertAlign val="superscript"/>
        <sz val="9"/>
        <color theme="1"/>
        <rFont val="Arial"/>
        <family val="2"/>
      </rPr>
      <t>(i)</t>
    </r>
    <r>
      <rPr>
        <sz val="9"/>
        <color theme="1"/>
        <rFont val="Arial"/>
        <family val="2"/>
      </rPr>
      <t xml:space="preserve"> Results of Activision Blizzard for the period from July 9, 2008 (commencement of the Business Combination) to September 30, 2008 and Vivendi Games for period</t>
    </r>
  </si>
  <si>
    <r>
      <rPr>
        <vertAlign val="superscript"/>
        <sz val="9"/>
        <rFont val="Arial"/>
        <family val="2"/>
      </rPr>
      <t xml:space="preserve">1 </t>
    </r>
    <r>
      <rPr>
        <sz val="9"/>
        <rFont val="Arial"/>
        <family val="2"/>
      </rPr>
      <t>TTM represents trailing twelve months and a simple summation of the current and the immediate past three quarters information.</t>
    </r>
  </si>
  <si>
    <r>
      <t>Unaudited Condensed Consolidated Statements of Operations - Trailing Twelve Months (TTM)</t>
    </r>
    <r>
      <rPr>
        <b/>
        <vertAlign val="superscript"/>
        <sz val="9"/>
        <rFont val="Arial"/>
        <family val="2"/>
      </rPr>
      <t>1</t>
    </r>
  </si>
  <si>
    <t>Non-GAAP Free Cash Flow</t>
  </si>
  <si>
    <t>Activision Blizzard provides net revenues, net income (loss), earnings (loss) per share and operating margin data and guidance both including (in accordance with GAAP) and excluding (non-GAAP) certain items. The non-GAAP financial measures exclude the following items, as applicable in any given reporting period:</t>
  </si>
  <si>
    <t>••• the change in deferred net revenue and related cost of sales with respect to certain of the company’s online-enabled games;</t>
  </si>
  <si>
    <r>
      <rPr>
        <vertAlign val="superscript"/>
        <sz val="9"/>
        <color theme="1"/>
        <rFont val="Calibri"/>
        <family val="2"/>
        <scheme val="minor"/>
      </rPr>
      <t>(i)</t>
    </r>
    <r>
      <rPr>
        <sz val="9"/>
        <color theme="1"/>
        <rFont val="Calibri"/>
        <family val="2"/>
        <scheme val="minor"/>
      </rPr>
      <t xml:space="preserve"> Results of Activision Blizzard for the period from July 9, 2008 (commencement of the Business Combination) to September 30, 2008 and Vivendi Games for period from July 1, 2008 to July 8, 2008.</t>
    </r>
  </si>
  <si>
    <r>
      <rPr>
        <vertAlign val="superscript"/>
        <sz val="9"/>
        <color indexed="8"/>
        <rFont val="Arial"/>
        <family val="2"/>
      </rPr>
      <t>1</t>
    </r>
    <r>
      <rPr>
        <sz val="9"/>
        <color indexed="8"/>
        <rFont val="Arial"/>
        <family val="2"/>
      </rPr>
      <t xml:space="preserve"> On July 9, 2008, a business combination (the "Business Combination") by and among Activision, Inc., Sego Merger Corporation, a wholly-owned subsidiary of Activision, Inc., Vivendi S.A. ("Vivendi"), VGAC LLC, a wholly-owned subsidiary of Vivendi, and Vivendi Games, Inc. ("Vivendi Games"), a wholly-owned subsidiary of VGAC LLC was consummated. As a result of the consummation of the Business Combination, Activision, Inc. was renamed Activision Blizzard, Inc. ("Activision Blizzard"). For accounting purposes, the Business Combination was treated as a "reverse acquisition," with Vivendi Games deemed to be the acquirer. 
</t>
    </r>
  </si>
  <si>
    <t>Impairment of goodwill/intangible assets</t>
  </si>
  <si>
    <t>Three Months Ended December 31, 2011</t>
  </si>
  <si>
    <t>Less:  Impairment of goodwill</t>
  </si>
  <si>
    <t>(d) Reflects impairment of goodwill.</t>
  </si>
  <si>
    <t>`</t>
  </si>
  <si>
    <t>Investment and other income (expense), net</t>
  </si>
  <si>
    <t>Reconciliation to consolidated operating income (loss):</t>
  </si>
  <si>
    <t>•• the amortization of intangibles, impairment of goodwill and intangible assets, and adjustments resulting from purchase price accounting; and</t>
  </si>
  <si>
    <t>Proceeds from maturities of available-for-sale investments</t>
  </si>
  <si>
    <t>Net income</t>
  </si>
  <si>
    <t>Cost of sales - online subscriptions</t>
  </si>
  <si>
    <t>Cost of Sales - Online Subscriptions</t>
  </si>
  <si>
    <t>* Net revenues from digital online channel represent revenues from subscriptions and memberships, licensing royalties, value-added services, downloadable content, digitally distributed products, and wireless</t>
  </si>
  <si>
    <t xml:space="preserve">  devices.</t>
  </si>
  <si>
    <r>
      <t xml:space="preserve">* Revenue from online subscriptions consists of revenue from all </t>
    </r>
    <r>
      <rPr>
        <i/>
        <sz val="9"/>
        <rFont val="Arial"/>
        <family val="2"/>
      </rPr>
      <t>World of Warcraft</t>
    </r>
    <r>
      <rPr>
        <sz val="9"/>
        <rFont val="Arial"/>
        <family val="2"/>
      </rPr>
      <t xml:space="preserve"> products, including subscriptions, boxed products, expansion packs, licensing royalties, and value-added services. </t>
    </r>
  </si>
  <si>
    <t>^ Downloadable content and their related revenues are included in each respective console platforms and total console.</t>
  </si>
  <si>
    <t>Consolidated operating income (loss)</t>
  </si>
  <si>
    <t>Proceeds from sale of auction rate securities ("ARS") classified as trading securities</t>
  </si>
  <si>
    <t>Proceeds from ARS called at par</t>
  </si>
  <si>
    <t>•• expenses related to restructuring;</t>
  </si>
  <si>
    <t>CY12</t>
  </si>
  <si>
    <t>Three Months Ended March 31, 2012</t>
  </si>
  <si>
    <t>Inventories, net</t>
  </si>
  <si>
    <t>Accounts receivable, net</t>
  </si>
  <si>
    <t>Three Months Ended June 30, 2012</t>
  </si>
  <si>
    <r>
      <t xml:space="preserve">   It also includes revenues from </t>
    </r>
    <r>
      <rPr>
        <i/>
        <sz val="9"/>
        <rFont val="Arial"/>
        <family val="2"/>
      </rPr>
      <t>Call of Duty Elite</t>
    </r>
    <r>
      <rPr>
        <sz val="9"/>
        <rFont val="Arial"/>
        <family val="2"/>
      </rPr>
      <t xml:space="preserve"> memberships. We have recorded a reduction of revenues of $11 million during the three months ended June 30, 2012. Please refer to footnote 1 on our Form 10-Q </t>
    </r>
  </si>
  <si>
    <t xml:space="preserve">   for the quarter ended June 30, 2012 for further details on this correction.</t>
  </si>
  <si>
    <r>
      <t xml:space="preserve">PC and other </t>
    </r>
    <r>
      <rPr>
        <vertAlign val="superscript"/>
        <sz val="9"/>
        <rFont val="Arial"/>
        <family val="2"/>
      </rPr>
      <t>3</t>
    </r>
  </si>
  <si>
    <r>
      <t>3</t>
    </r>
    <r>
      <rPr>
        <sz val="9"/>
        <rFont val="Arial"/>
        <family val="2"/>
      </rPr>
      <t xml:space="preserve"> Other includes standalone sales of toys and accessories products from Skylanders franchise, mobile sales and other physical merchandise and accessories.</t>
    </r>
  </si>
  <si>
    <t xml:space="preserve">In the future, Activision Blizzard may also consider whether other significant non-recurring items should also be excluded in calculating the non-GAAP financial measures used by the company.  Management believes that the presentation of these non-GAAP financial measures provides investors with additional useful information to measure Activision Blizzard’s financial and operating performance.  In particular, the measures facilitate comparison of operating performance between periods and help investors to better understand the operating results of Activision Blizzard by excluding certain items that may not be indicative of the company’s core business, operating results or future outlook.  Internally, management uses these non-GAAP financial measures in assessing the company’s operating results, as well as in planning and forecasting.
Activision Blizzard’s non-GAAP financial measures are not based on a comprehensive set of accounting rules or principles, and the terms non-GAAP net revenues, non-GAAP net income, non-GAAP earnings per share, and non-GAAP operating margin do not have a standardized meaning. Therefore, other companies may use the same or similarly named measures, but exclude different items, which may not provide investors a comparable view of Activision Blizzard’s performance in relation to other companies.
Management compensates for the limitations resulting from the exclusion of these items by considering the impact of the items separately and by considering Activision Blizzard’s GAAP, as well as non-GAAP results and outlook and, by presenting the most comparable GAAP measures directly ahead of non-GAAP measures, and by providing a reconciliation that indicates and describes the adjustments made.
In addition to the reasons stated above, which are generally applicable to each of the items Activision Blizzard excludes from its non-GAAP financial measures, there are additional specific reasons why the company believes it is appropriate to exclude the change in deferred net revenue and related cost of sales with respect to certain of the company’s online-enabled games. 
Since Activision Blizzard has determined that some of our games’ online functionality represents an essential component of gameplay and, as a result, a more-than-inconsequential separate deliverable, we recognize revenue attributed to these game titles over their estimated service periods, which may range from five months to a maximum of less than a year. The related cost of sales is deferred and recognized as the related revenues are recognized. Internally, management excludes the impact of this change in deferred net revenue and related cost of sales in its non-GAAP financial measures when evaluating the company’s operating performance, when planning, forecasting and analyzing future periods, and when assessing the performance of its management team. 
Management believes this is appropriate because doing so enables an analysis of performance based on the timing of actual transactions with our customers, which is consistent with the way the company is measured by investment analysts and industry data sources. In addition, excluding the change in deferred net revenue and the related cost of sales provides a much more timely indication of trends in our operating results.
</t>
  </si>
  <si>
    <t>Three Months Ended September 30, 2012</t>
  </si>
  <si>
    <t>Nintendo 3DS and DS</t>
  </si>
  <si>
    <r>
      <rPr>
        <vertAlign val="superscript"/>
        <sz val="9"/>
        <rFont val="Arial"/>
        <family val="2"/>
      </rPr>
      <t>(i)</t>
    </r>
    <r>
      <rPr>
        <sz val="9"/>
        <rFont val="Arial"/>
        <family val="2"/>
      </rPr>
      <t xml:space="preserve"> Activision Publishing (“Activision”) —  publishes interactive entertainment products and contents.</t>
    </r>
  </si>
  <si>
    <r>
      <t xml:space="preserve">Sony PlayStation  3 </t>
    </r>
    <r>
      <rPr>
        <vertAlign val="superscript"/>
        <sz val="9"/>
        <rFont val="Arial"/>
        <family val="2"/>
      </rPr>
      <t>4</t>
    </r>
  </si>
  <si>
    <t>Sony PlayStation  2</t>
  </si>
  <si>
    <r>
      <t>4</t>
    </r>
    <r>
      <rPr>
        <sz val="9"/>
        <rFont val="Arial"/>
        <family val="2"/>
      </rPr>
      <t xml:space="preserve"> Due to immateriality, we started combining our net revenues from Sony PlayStation 2 with net revenues from Sony PlayStation 3 during the quarter ended September 30, 2012.</t>
    </r>
  </si>
  <si>
    <t>Three Months Ended December 31, 2012</t>
  </si>
  <si>
    <t>Sony PSP and PS Vita</t>
  </si>
  <si>
    <t>Tax payment related to net share settlements of restricted stock awards</t>
  </si>
  <si>
    <t xml:space="preserve">As a supplement to our financial measures presented in accordance with Generally Accepted Accounting Principles (“GAAP”), Activision Blizzard presents certain non-GAAP measures of financial performance. These non-GAAP financial measures are not intended to be considered in isolation from, as a substitute for, or as more important than, the financial information prepared and presented in accordance with GAAP.  In addition, these non-GAAP measures have limitations in that they do not reflect all of the items associated with the company’s results of operations as determined in accordance with GAAP.  </t>
  </si>
  <si>
    <t>Nintendo Wii and Wii U</t>
  </si>
  <si>
    <t xml:space="preserve">For the years ended December 31, </t>
  </si>
  <si>
    <t>Capital Expenditures</t>
  </si>
  <si>
    <t>intangible assets.)</t>
  </si>
  <si>
    <t>Non-GAAP free cash flow represents operating cash flow minus capital expenditures (which includes payment for acquisition</t>
  </si>
  <si>
    <t>UNAUDITED CONDENSED CONSOLIDATED STATEMENTS OF CASH FLOWS</t>
  </si>
  <si>
    <t>(c) Reflects amortization of intangible assets from purchase price accounting.</t>
  </si>
  <si>
    <t>UNAUDITED SEGMENT INFORMATION</t>
  </si>
  <si>
    <t>UNAUDITED FINANCIAL INFORMATION</t>
  </si>
  <si>
    <t>UNAUDITED SUPPLEMENTAL FINANCIAL INFORMATION</t>
  </si>
  <si>
    <t>RECONCILIATION OF GAAP NET INCOME TO NON-GAAP MEASURES (UNAUDITED)</t>
  </si>
  <si>
    <t>(v) Results of Activision Blizzard for the period from July 9, 2008 (commencement of the Business Combination) to September 30, 2008 and Vivendi Games for period from July 1, 2008 to July 8, 2008.</t>
  </si>
  <si>
    <t>Net cash used in financing activities</t>
  </si>
  <si>
    <t>Net cash (used in) provided by  investing activities</t>
  </si>
  <si>
    <t>(Increase) decrease in restricted cash</t>
  </si>
  <si>
    <t>Net increase in cash and cash equivalents</t>
  </si>
  <si>
    <t>RECONCILIATION OF GAAP NET INCOME TO NON-GAAP NET INCOME</t>
  </si>
  <si>
    <t>(Amounts in millions, except earnings (loss) per share data)</t>
  </si>
  <si>
    <t>Three Months ended September 30, 2008</t>
  </si>
  <si>
    <t>Less:  One time costs related to the Business Combination, integration and restructuring</t>
  </si>
  <si>
    <t>Three Months ended December 31, 2008</t>
  </si>
  <si>
    <t>(c) Reflects the results of products and operations from the historical Vivendi Games businesses that the Company has exited, divested or wound down.</t>
  </si>
  <si>
    <t>The per share adjustments are presented as calculated, and the GAAP and non-GAAP earnings (loss) per share information is also presented as calculated. The sum of these measures, as presented, may differ due to the impact of rounding.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</si>
</sst>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3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0;\(#,##0\);\-"/>
    <numFmt numFmtId="168" formatCode="_(* #,##0.0000_);_(* \(#,##0.0000\);_(* &quot;-&quot;??_);_(@_)"/>
    <numFmt numFmtId="169" formatCode="#,##0.0\ ;\(#,##0.0\)"/>
    <numFmt numFmtId="170" formatCode="#,##0,;;;&quot;$K&quot;"/>
    <numFmt numFmtId="171" formatCode="_ * #,##0.00_ ;_ * \-#,##0.00_ ;_ * &quot;-&quot;??_ ;_ @_ "/>
    <numFmt numFmtId="172" formatCode="_-* #,##0_-;\-* #,##0_-;_-* &quot;-&quot;_-;_-@_-"/>
    <numFmt numFmtId="173" formatCode="_-* #,##0.00_-;\-* #,##0.00_-;_-* &quot;-&quot;??_-;_-@_-"/>
    <numFmt numFmtId="174" formatCode="_-&quot;$&quot;* #,##0_-;\-&quot;$&quot;* #,##0_-;_-&quot;$&quot;* &quot;-&quot;_-;_-@_-"/>
    <numFmt numFmtId="175" formatCode="#,##0.0_);\(#,##0.0\);0_._0_)"/>
    <numFmt numFmtId="176" formatCode="0.0_)\%;\(0.0\)\%;0.0_)\%;@_)_%"/>
    <numFmt numFmtId="177" formatCode="#,##0.0_)_%;\(#,##0.0\)_%;0.0_)_%;@_)_%"/>
    <numFmt numFmtId="178" formatCode=";;;"/>
    <numFmt numFmtId="179" formatCode="#,##0.0_);\(#,##0.0\);#,##0.0_);@_)"/>
    <numFmt numFmtId="180" formatCode="dd\-mmm\-yy_)"/>
    <numFmt numFmtId="181" formatCode="#,##0.0_);\(#,##0.0\)"/>
    <numFmt numFmtId="182" formatCode="&quot;$&quot;_(#,##0.00_);&quot;$&quot;\(#,##0.00\);&quot;$&quot;_(0.00_);@_)"/>
    <numFmt numFmtId="183" formatCode="&quot;$&quot;_(#,##0.00_);&quot;$&quot;\(#,##0.00\)"/>
    <numFmt numFmtId="184" formatCode="&quot;$&quot;#,##0.000_);[Red]\(&quot;$&quot;#,##0.000\)"/>
    <numFmt numFmtId="185" formatCode="&quot;£&quot;_(#,##0.00_);&quot;£&quot;\(#,##0.00\)"/>
    <numFmt numFmtId="186" formatCode="&quot;£&quot;_(#,##0.00_);&quot;£&quot;\(#,##0.00\);&quot;£&quot;_(0.00_);@_)"/>
    <numFmt numFmtId="187" formatCode="#,##0.00_);\(#,##0.00\);0.00_);@_)"/>
    <numFmt numFmtId="188" formatCode="0.0_)"/>
    <numFmt numFmtId="189" formatCode="\€_(#,##0.00_);\€\(#,##0.00\);\€_(0.00_);@_)"/>
    <numFmt numFmtId="190" formatCode="0.00_)"/>
    <numFmt numFmtId="191" formatCode="#,##0_)\x;\(#,##0\)\x;0_)\x;@_)_x"/>
    <numFmt numFmtId="192" formatCode="#,##0.0_)\x;\(#,##0.0\)\x;0.0_)\x;@_)_x"/>
    <numFmt numFmtId="193" formatCode="#,##0.0_)\x;\(#,##0.0\)\x"/>
    <numFmt numFmtId="194" formatCode="&quot;$&quot;#,##0.0000_);[Red]\(&quot;$&quot;#,##0.0000\)"/>
    <numFmt numFmtId="195" formatCode="#,##0_)_x;\(#,##0\)_x;0_)_x;@_)_x"/>
    <numFmt numFmtId="196" formatCode="#,##0.0_)_x;\(#,##0.0\)_x;0.0_)_x;@_)_x"/>
    <numFmt numFmtId="197" formatCode="0.0"/>
    <numFmt numFmtId="198" formatCode="#,##0.0_)_x;\(#,##0.0\)_x"/>
    <numFmt numFmtId="199" formatCode="&quot;$&quot;#,##0.0_);[Red]\(&quot;$&quot;#,##0.0\)"/>
    <numFmt numFmtId="200" formatCode="0.0_)\%;\(0.0\)\%"/>
    <numFmt numFmtId="201" formatCode="#,##0.000_);\(#,##0.000\)"/>
    <numFmt numFmtId="202" formatCode="#,##0.0_)_%;\(#,##0.0\)_%"/>
    <numFmt numFmtId="203" formatCode="&quot;!&quot;#,##0_);\(&quot;!&quot;#,##0\)"/>
    <numFmt numFmtId="204" formatCode="_-&quot;$&quot;* #,##0.00_-;\-&quot;$&quot;* #,##0.00_-;_-&quot;$&quot;* &quot;-&quot;??_-;_-@_-"/>
    <numFmt numFmtId="205" formatCode="_(* #,##0_);_(* \(#,##0\);_(* &quot; - &quot;_);_(@_)"/>
    <numFmt numFmtId="206" formatCode="#,##0,\ ;[Red]\(#,##0,\);&quot;&quot;"/>
    <numFmt numFmtId="207" formatCode="#,##0,_$;\-#,##0,_$"/>
    <numFmt numFmtId="208" formatCode="&quot;$&quot;#,##0;\-&quot;$&quot;#,##0"/>
    <numFmt numFmtId="209" formatCode="#,##0;\-#,##0;&quot;-&quot;"/>
    <numFmt numFmtId="210" formatCode="0.00000000%"/>
    <numFmt numFmtId="211" formatCode="0.0&quot;  &quot;"/>
    <numFmt numFmtId="212" formatCode="0.000&quot;  &quot;"/>
    <numFmt numFmtId="213" formatCode="&quot;$&quot;#,##0.00"/>
    <numFmt numFmtId="214" formatCode="0.0000&quot;  &quot;"/>
    <numFmt numFmtId="215" formatCode="0.00000&quot;  &quot;"/>
    <numFmt numFmtId="216" formatCode="0%;\(0%\)"/>
    <numFmt numFmtId="217" formatCode="0.00&quot;  &quot;"/>
    <numFmt numFmtId="218" formatCode="#,##0\ ;[Red]\(#,##0\)"/>
    <numFmt numFmtId="219" formatCode="[$-409]mmmm\ d\,\ yyyy;@"/>
    <numFmt numFmtId="220" formatCode="#,##0.00\ &quot;F&quot;;[Red]\-#,##0.00\ &quot;F&quot;"/>
    <numFmt numFmtId="221" formatCode="&quot;$&quot;#,##0.0_);\(&quot;$&quot;#,##0.0\)"/>
    <numFmt numFmtId="222" formatCode="_(&quot;$&quot;* #,##0.0_);_(&quot;$&quot;* \(#,##0.0\);_(&quot;$&quot;* &quot;-&quot;??_);_(@_)"/>
    <numFmt numFmtId="223" formatCode="_-* #,##0.0\ _F_-;\-* #,##0.0\ _F_-;_-* \-?\ _F_-;_-@_-"/>
    <numFmt numFmtId="224" formatCode="&quot;\&quot;#,##0;&quot;\&quot;&quot;\&quot;&quot;\&quot;&quot;\&quot;\-#,##0"/>
    <numFmt numFmtId="225" formatCode="&quot;$&quot;#,##0\ ;\(&quot;$&quot;#,##0\)"/>
    <numFmt numFmtId="226" formatCode="0.00000"/>
    <numFmt numFmtId="227" formatCode="_(* #,##0_);_(* \(#,##0\);_(* &quot;0&quot;??_);_(@_)"/>
    <numFmt numFmtId="228" formatCode="#,##0;\(#,##0\)"/>
    <numFmt numFmtId="229" formatCode="#,##0.00000"/>
    <numFmt numFmtId="230" formatCode="#,##0.0;\(#,##0.0\)"/>
    <numFmt numFmtId="231" formatCode="mmm\-d\-yyyy"/>
    <numFmt numFmtId="232" formatCode="_(* #,##0_);_(* \(#,##0\);_(* &quot;&quot;\ \-\ &quot;&quot;_);_(@_)"/>
    <numFmt numFmtId="233" formatCode="_(* #,##0_);[Red]_(* \(#,##0\);_(* &quot;&quot;\ \-\ &quot;&quot;_);_(@_)"/>
    <numFmt numFmtId="234" formatCode="#,##0,_$;[Red]\-#,##0,_$"/>
    <numFmt numFmtId="235" formatCode="#,##0.00,_$;[Red]\-#,##0.00,_$"/>
    <numFmt numFmtId="236" formatCode="_(* #,###.00_);_(* \(#,###.00\);_(* &quot;-&quot;??_);_(@_)"/>
    <numFmt numFmtId="237" formatCode="_(&quot;$&quot;* \ #,##0.00_);_(&quot;$&quot;* \ \(#,##0.00\);_(&quot;$&quot;* \ &quot;-&quot;??_);_(@_)"/>
    <numFmt numFmtId="238" formatCode="_(&quot;$&quot;* #,##0,_);_(&quot;$&quot;* \(#,##0,\);_(&quot;$&quot;* &quot;-&quot;_);_(@_)"/>
    <numFmt numFmtId="239" formatCode="_([$€]* #,##0.00_);_([$€]* \(#,##0.00\);_([$€]* &quot;-&quot;??_);_(@_)"/>
    <numFmt numFmtId="240" formatCode="_-* #,##0.00\ [$€]_-;\-* #,##0.00\ [$€]_-;_-* &quot;-&quot;??\ [$€]_-;_-@_-"/>
    <numFmt numFmtId="241" formatCode="_-* #,##0.00\ &quot;€&quot;_-;\-* #,##0.00\ &quot;€&quot;_-;_-* &quot;-&quot;??\ &quot;€&quot;_-;_-@_-"/>
    <numFmt numFmtId="242" formatCode="\$#,##0_);[Red]&quot;($&quot;#,##0\)"/>
    <numFmt numFmtId="243" formatCode="#,##0,,,\ ;;;&quot;Gb/s&quot;"/>
    <numFmt numFmtId="244" formatCode="&quot;$&quot;#,##0,_);\(&quot;$&quot;#,##0\)"/>
    <numFmt numFmtId="245" formatCode="0;;"/>
    <numFmt numFmtId="246" formatCode="_-* #,##0.00\ &quot;DM&quot;_-;\-* #,##0.00\ &quot;DM&quot;_-;_-* &quot;-&quot;??\ &quot;DM&quot;_-;_-@_-"/>
    <numFmt numFmtId="247" formatCode="#,##0.0_);[Red]\(#,##0.0\)"/>
    <numFmt numFmtId="248" formatCode="#,##0.000%_);[Red]\(#,##0.000%\)"/>
    <numFmt numFmtId="249" formatCode="mm/dd/yy;;;"/>
    <numFmt numFmtId="250" formatCode="#,##0,;;;&quot;Kb/s&quot;"/>
    <numFmt numFmtId="251" formatCode="#,##0,,;;;&quot;Mb/s&quot;"/>
    <numFmt numFmtId="252" formatCode="_-* #,##0\ _D_M_-;\-* #,##0\ _D_M_-;_-* &quot;-&quot;\ _D_M_-;_-@_-"/>
    <numFmt numFmtId="253" formatCode="_-* #,##0.00\ _D_M_-;\-* #,##0.00\ _D_M_-;_-* &quot;-&quot;??\ _D_M_-;_-@_-"/>
    <numFmt numFmtId="254" formatCode="&quot;$&quot;0.000"/>
    <numFmt numFmtId="255" formatCode="_-* #,##0\ &quot;DM&quot;_-;\-* #,##0\ &quot;DM&quot;_-;_-* &quot;-&quot;\ &quot;DM&quot;_-;_-@_-"/>
    <numFmt numFmtId="256" formatCode="_-&quot;£&quot;* #,##0.00_-;\-&quot;£&quot;* #,##0.00_-;_-&quot;£&quot;* &quot;-&quot;??_-;_-@_-"/>
    <numFmt numFmtId="257" formatCode="0.0;\(0.0\)"/>
    <numFmt numFmtId="258" formatCode="#,##0.0_);[Red]\(#,##0.0\);&quot;N/A &quot;"/>
    <numFmt numFmtId="259" formatCode="###0.0_x;\(###0.0\)_x"/>
    <numFmt numFmtId="260" formatCode="dd/mmm"/>
    <numFmt numFmtId="261" formatCode="\$#,##0_);&quot;($&quot;#,##0\)"/>
    <numFmt numFmtId="262" formatCode="#,##0.0%_);\(#,##0.0&quot;%)&quot;"/>
    <numFmt numFmtId="263" formatCode="#,##0.0,,_);\(#,##0.0,,\);\-_)"/>
    <numFmt numFmtId="264" formatCode="#,##0_);\(#,##0\);\-_)"/>
    <numFmt numFmtId="265" formatCode="_-* #,##0.000000_-;\-* #,##0.000000_-;_-* \-??_-;_-@_-"/>
    <numFmt numFmtId="266" formatCode="#,##0.0,_);\(#,##0.0,\);\-_)"/>
    <numFmt numFmtId="267" formatCode="#,##0.00_);\(#,##0.00\);\-_)"/>
    <numFmt numFmtId="268" formatCode="0.0%&quot;NetPPE/sales&quot;"/>
    <numFmt numFmtId="269" formatCode="#,##0&quot; &quot;\ &quot; &quot;;[Red]\(#,##0\)\ &quot; &quot;;&quot;—&quot;&quot; &quot;&quot; &quot;&quot; &quot;&quot; &quot;"/>
    <numFmt numFmtId="270" formatCode="0.0%&quot;NWI/Sls&quot;"/>
    <numFmt numFmtId="271" formatCode="_(\$* #,##0.00_);_(\$* \(#,##0.00\);_(\$* \-??_);_(@_)"/>
    <numFmt numFmtId="272" formatCode="mmmm\ dd\,\ yyyy"/>
    <numFmt numFmtId="273" formatCode="0.000000000"/>
    <numFmt numFmtId="274" formatCode="_(* #,##0_);_(* \(#,##0\);_(* \-_);_(@_)"/>
    <numFmt numFmtId="275" formatCode="0.000000"/>
    <numFmt numFmtId="276" formatCode="0.0%&quot;Sales&quot;"/>
    <numFmt numFmtId="277" formatCode="0.0%_);\(0.0%\)"/>
    <numFmt numFmtId="278" formatCode="mm/dd/yy"/>
    <numFmt numFmtId="279" formatCode="#,##0.0"/>
    <numFmt numFmtId="280" formatCode="#,##0.0\ ;[Red]\-#,##0.0\ "/>
    <numFmt numFmtId="281" formatCode="0.0000000000000"/>
    <numFmt numFmtId="282" formatCode="0.0%;[Red]\(0.0%\);&quot; &quot;"/>
    <numFmt numFmtId="283" formatCode="_-* #,##0.000_-;\-* #,##0.000_-;_-* &quot;-&quot;??_-;_-@_-"/>
    <numFmt numFmtId="284" formatCode="&quot;TFCF: &quot;#,##0_);[Red]&quot;No! &quot;\(#,##0\)"/>
    <numFmt numFmtId="285" formatCode="_(* #,##0,_);[Red]_(* \(#,##0,\);_(* 0_);_(@_)"/>
    <numFmt numFmtId="286" formatCode="_(* #,##0_);[Red]_(* \(#,##0\);_(* 0_);_(@_)"/>
    <numFmt numFmtId="287" formatCode="_-* #,##0\ _B_F_-;\-* #,##0\ _B_F_-;_-* &quot;-&quot;\ _B_F_-;_-@_-"/>
    <numFmt numFmtId="288" formatCode="_-* #,##0.00\ _B_F_-;\-* #,##0.00\ _B_F_-;_-* &quot;-&quot;??\ _B_F_-;_-@_-"/>
    <numFmt numFmtId="289" formatCode="&quot;\&quot;#,##0;[Red]&quot;\&quot;&quot;\&quot;\-#,##0"/>
    <numFmt numFmtId="290" formatCode="&quot;\&quot;#,##0.00;[Red]&quot;\&quot;&quot;\&quot;&quot;\&quot;&quot;\&quot;&quot;\&quot;&quot;\&quot;\-#,##0.00"/>
    <numFmt numFmtId="291" formatCode="&quot;\&quot;#,##0;[Red]&quot;\&quot;\-#,##0"/>
    <numFmt numFmtId="292" formatCode="_-* #,##0\ &quot;BF&quot;_-;\-* #,##0\ &quot;BF&quot;_-;_-* &quot;-&quot;\ &quot;BF&quot;_-;_-@_-"/>
    <numFmt numFmtId="293" formatCode="_-* #,##0.00\ &quot;BF&quot;_-;\-* #,##0.00\ &quot;BF&quot;_-;_-* &quot;-&quot;??\ &quot;BF&quot;_-;_-@_-"/>
  </numFmts>
  <fonts count="290">
    <font>
      <sz val="11"/>
      <color theme="1"/>
      <name val="Calibri"/>
      <family val="2"/>
      <scheme val="minor"/>
    </font>
    <font>
      <sz val="9"/>
      <name val="Arial"/>
      <family val="2"/>
    </font>
    <font>
      <sz val="9"/>
      <color indexed="10"/>
      <name val="Arial"/>
      <family val="2"/>
    </font>
    <font>
      <b/>
      <sz val="9"/>
      <name val="Arial"/>
      <family val="2"/>
    </font>
    <font>
      <sz val="10"/>
      <name val="Arial"/>
      <family val="2"/>
    </font>
    <font>
      <u val="singleAccounting"/>
      <sz val="9"/>
      <name val="Arial"/>
      <family val="2"/>
    </font>
    <font>
      <b/>
      <u val="doubleAccounting"/>
      <sz val="9"/>
      <name val="Arial"/>
      <family val="2"/>
    </font>
    <font>
      <b/>
      <u/>
      <sz val="9"/>
      <name val="Arial"/>
      <family val="2"/>
    </font>
    <font>
      <b/>
      <sz val="10"/>
      <name val="Arial"/>
      <family val="2"/>
    </font>
    <font>
      <b/>
      <sz val="12"/>
      <name val="Arial"/>
      <family val="2"/>
    </font>
    <font>
      <sz val="12"/>
      <name val="Arial"/>
      <family val="2"/>
    </font>
    <font>
      <b/>
      <i/>
      <sz val="9"/>
      <name val="Arial"/>
      <family val="2"/>
    </font>
    <font>
      <sz val="11"/>
      <color indexed="8"/>
      <name val="Calibri"/>
      <family val="2"/>
    </font>
    <font>
      <b/>
      <sz val="11"/>
      <color indexed="8"/>
      <name val="Calibri"/>
      <family val="2"/>
    </font>
    <font>
      <sz val="8"/>
      <name val="Calibri"/>
      <family val="2"/>
    </font>
    <font>
      <b/>
      <sz val="9"/>
      <color indexed="12"/>
      <name val="Arial"/>
      <family val="2"/>
    </font>
    <font>
      <sz val="9"/>
      <color indexed="8"/>
      <name val="Arial"/>
      <family val="2"/>
    </font>
    <font>
      <b/>
      <sz val="9"/>
      <color indexed="8"/>
      <name val="Arial"/>
      <family val="2"/>
    </font>
    <font>
      <sz val="10.5"/>
      <color indexed="8"/>
      <name val="Arial"/>
      <family val="2"/>
    </font>
    <font>
      <sz val="10.5"/>
      <color indexed="8"/>
      <name val="Arial"/>
      <family val="2"/>
    </font>
    <font>
      <b/>
      <sz val="32"/>
      <color indexed="8"/>
      <name val="Arial Black"/>
      <family val="2"/>
    </font>
    <font>
      <u/>
      <sz val="9"/>
      <name val="Arial"/>
      <family val="2"/>
    </font>
    <font>
      <sz val="11"/>
      <color indexed="12"/>
      <name val="Calibri"/>
      <family val="2"/>
    </font>
    <font>
      <sz val="9"/>
      <color indexed="12"/>
      <name val="Arial"/>
      <family val="2"/>
    </font>
    <font>
      <sz val="10"/>
      <color indexed="12"/>
      <name val="Arial"/>
      <family val="2"/>
    </font>
    <font>
      <sz val="11"/>
      <name val="Calibri"/>
      <family val="2"/>
    </font>
    <font>
      <b/>
      <u/>
      <sz val="11"/>
      <color theme="1"/>
      <name val="Calibri"/>
      <family val="2"/>
      <scheme val="minor"/>
    </font>
    <font>
      <sz val="10"/>
      <name val="Helv"/>
    </font>
    <font>
      <b/>
      <sz val="10"/>
      <name val="Times New Roman"/>
      <family val="1"/>
    </font>
    <font>
      <sz val="10"/>
      <name val="Times New Roman"/>
      <family val="1"/>
    </font>
    <font>
      <sz val="10"/>
      <color rgb="FF006100"/>
      <name val="Times New Roman"/>
      <family val="2"/>
    </font>
    <font>
      <sz val="10"/>
      <color rgb="FF9C0006"/>
      <name val="Times New Roman"/>
      <family val="2"/>
    </font>
    <font>
      <sz val="10"/>
      <color rgb="FF9C6500"/>
      <name val="Times New Roman"/>
      <family val="2"/>
    </font>
    <font>
      <sz val="10"/>
      <color rgb="FF3F3F76"/>
      <name val="Times New Roman"/>
      <family val="2"/>
    </font>
    <font>
      <b/>
      <sz val="10"/>
      <color rgb="FF3F3F3F"/>
      <name val="Times New Roman"/>
      <family val="2"/>
    </font>
    <font>
      <b/>
      <sz val="10"/>
      <color rgb="FFFA7D00"/>
      <name val="Times New Roman"/>
      <family val="2"/>
    </font>
    <font>
      <sz val="8"/>
      <name val="Times New Roman"/>
      <family val="1"/>
    </font>
    <font>
      <sz val="8"/>
      <name val="Arial"/>
      <family val="2"/>
    </font>
    <font>
      <sz val="6"/>
      <name val="Times New Roman"/>
      <family val="1"/>
    </font>
    <font>
      <b/>
      <sz val="6"/>
      <name val="Times New Roman"/>
      <family val="1"/>
    </font>
    <font>
      <sz val="6"/>
      <name val="Arial"/>
      <family val="2"/>
    </font>
    <font>
      <b/>
      <sz val="6"/>
      <name val="Arial"/>
      <family val="2"/>
    </font>
    <font>
      <sz val="7"/>
      <name val="Times New Roman"/>
      <family val="1"/>
    </font>
    <font>
      <sz val="8"/>
      <color indexed="12"/>
      <name val="Arial"/>
      <family val="2"/>
    </font>
    <font>
      <sz val="10"/>
      <color indexed="8"/>
      <name val="MS Sans Serif"/>
      <family val="2"/>
    </font>
    <font>
      <sz val="12"/>
      <name val="Helv"/>
      <family val="2"/>
    </font>
    <font>
      <sz val="12"/>
      <name val="Times New Roman"/>
      <family val="1"/>
    </font>
    <font>
      <sz val="12"/>
      <name val="????"/>
      <charset val="136"/>
    </font>
    <font>
      <sz val="10"/>
      <name val="Helvetica-Narrow"/>
      <family val="2"/>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4"/>
      <name val="AngsanaUPC"/>
      <family val="1"/>
    </font>
    <font>
      <sz val="10"/>
      <name val="MS Sans Serif"/>
      <family val="2"/>
    </font>
    <font>
      <sz val="10"/>
      <color indexed="8"/>
      <name val="Times New Roman"/>
      <family val="2"/>
    </font>
    <font>
      <sz val="11"/>
      <color indexed="8"/>
      <name val="宋体"/>
      <charset val="134"/>
    </font>
    <font>
      <sz val="12"/>
      <color indexed="8"/>
      <name val="新細明體"/>
      <family val="1"/>
      <charset val="136"/>
    </font>
    <font>
      <sz val="11"/>
      <color indexed="9"/>
      <name val="Calibri"/>
      <family val="2"/>
    </font>
    <font>
      <sz val="10"/>
      <color indexed="9"/>
      <name val="Times New Roman"/>
      <family val="2"/>
    </font>
    <font>
      <sz val="11"/>
      <color indexed="9"/>
      <name val="宋体"/>
      <charset val="134"/>
    </font>
    <font>
      <sz val="12"/>
      <color indexed="9"/>
      <name val="新細明體"/>
      <family val="1"/>
      <charset val="136"/>
    </font>
    <font>
      <sz val="8"/>
      <name val="Tahoma"/>
      <family val="2"/>
    </font>
    <font>
      <sz val="10"/>
      <name val="TimesNewRomanPS"/>
    </font>
    <font>
      <sz val="11"/>
      <color indexed="16"/>
      <name val="Calibri"/>
      <family val="2"/>
    </font>
    <font>
      <sz val="11"/>
      <color indexed="20"/>
      <name val="Calibri"/>
      <family val="2"/>
    </font>
    <font>
      <b/>
      <sz val="14"/>
      <color indexed="9"/>
      <name val="Univers (WN)"/>
      <family val="2"/>
    </font>
    <font>
      <b/>
      <sz val="14"/>
      <name val="Univers (WN)"/>
    </font>
    <font>
      <b/>
      <sz val="10"/>
      <color indexed="9"/>
      <name val="Arial"/>
      <family val="2"/>
    </font>
    <font>
      <i/>
      <sz val="14"/>
      <color indexed="8"/>
      <name val="Arial"/>
      <family val="2"/>
    </font>
    <font>
      <b/>
      <i/>
      <u/>
      <sz val="14"/>
      <name val="Arial"/>
      <family val="2"/>
    </font>
    <font>
      <b/>
      <sz val="12"/>
      <color indexed="8"/>
      <name val="Times New Roman"/>
      <family val="1"/>
    </font>
    <font>
      <sz val="10"/>
      <name val="Century Gothic"/>
      <family val="2"/>
    </font>
    <font>
      <i/>
      <sz val="12"/>
      <color indexed="8"/>
      <name val="Arial"/>
      <family val="2"/>
    </font>
    <font>
      <sz val="8"/>
      <name val="Verdana"/>
      <family val="2"/>
    </font>
    <font>
      <b/>
      <sz val="10"/>
      <name val="MS Sans Serif"/>
      <family val="2"/>
    </font>
    <font>
      <u val="singleAccounting"/>
      <sz val="10"/>
      <name val="Arial"/>
      <family val="2"/>
    </font>
    <font>
      <sz val="10"/>
      <color indexed="8"/>
      <name val="Arial"/>
      <family val="2"/>
    </font>
    <font>
      <sz val="10"/>
      <name val="Courier"/>
      <family val="3"/>
    </font>
    <font>
      <sz val="11"/>
      <name val="Arial"/>
      <family val="2"/>
    </font>
    <font>
      <b/>
      <sz val="11"/>
      <color indexed="53"/>
      <name val="Calibri"/>
      <family val="2"/>
    </font>
    <font>
      <b/>
      <sz val="11"/>
      <color indexed="52"/>
      <name val="Calibri"/>
      <family val="2"/>
    </font>
    <font>
      <b/>
      <sz val="9"/>
      <color indexed="12"/>
      <name val="Times New Roman"/>
      <family val="1"/>
    </font>
    <font>
      <b/>
      <i/>
      <sz val="10"/>
      <name val="Arial"/>
      <family val="2"/>
    </font>
    <font>
      <b/>
      <sz val="11"/>
      <color indexed="9"/>
      <name val="Calibri"/>
      <family val="2"/>
    </font>
    <font>
      <b/>
      <sz val="10"/>
      <color indexed="9"/>
      <name val="Times New Roman"/>
      <family val="2"/>
    </font>
    <font>
      <sz val="10"/>
      <color indexed="8"/>
      <name val="ARIAL"/>
      <family val="2"/>
      <charset val="1"/>
    </font>
    <font>
      <b/>
      <sz val="8"/>
      <color indexed="9"/>
      <name val="Arial"/>
      <family val="2"/>
    </font>
    <font>
      <b/>
      <sz val="8"/>
      <color indexed="8"/>
      <name val="Arial"/>
      <family val="2"/>
    </font>
    <font>
      <b/>
      <u val="singleAccounting"/>
      <sz val="8"/>
      <color indexed="8"/>
      <name val="Arial"/>
      <family val="2"/>
    </font>
    <font>
      <b/>
      <sz val="8"/>
      <color indexed="8"/>
      <name val="Courier New"/>
      <family val="3"/>
    </font>
    <font>
      <sz val="8"/>
      <color indexed="12"/>
      <name val="Helv"/>
    </font>
    <font>
      <sz val="10"/>
      <name val="MS Serif"/>
      <family val="1"/>
    </font>
    <font>
      <sz val="9"/>
      <name val="Helv"/>
    </font>
    <font>
      <sz val="11"/>
      <color indexed="12"/>
      <name val="Book Antiqua"/>
      <family val="1"/>
    </font>
    <font>
      <sz val="11"/>
      <name val="돋움"/>
      <family val="1"/>
      <charset val="136"/>
    </font>
    <font>
      <b/>
      <sz val="9"/>
      <color indexed="9"/>
      <name val="Arial"/>
      <family val="2"/>
    </font>
    <font>
      <sz val="8"/>
      <name val="MS Sans Serif"/>
      <family val="2"/>
    </font>
    <font>
      <sz val="8"/>
      <color indexed="18"/>
      <name val="Comic Sans MS"/>
      <family val="4"/>
    </font>
    <font>
      <b/>
      <sz val="8"/>
      <name val="Arial"/>
      <family val="2"/>
    </font>
    <font>
      <b/>
      <sz val="10"/>
      <name val="Tms Rmn"/>
    </font>
    <font>
      <sz val="10"/>
      <name val="Geneva"/>
      <family val="2"/>
    </font>
    <font>
      <sz val="10"/>
      <color indexed="18"/>
      <name val="Arial"/>
      <family val="2"/>
    </font>
    <font>
      <b/>
      <u/>
      <sz val="8"/>
      <name val="Arial"/>
      <family val="2"/>
    </font>
    <font>
      <sz val="1.25"/>
      <name val="Arial"/>
      <family val="2"/>
    </font>
    <font>
      <b/>
      <u val="double"/>
      <sz val="9"/>
      <name val="Arial"/>
      <family val="2"/>
    </font>
    <font>
      <u val="doubleAccounting"/>
      <sz val="10"/>
      <name val="Arial"/>
      <family val="2"/>
    </font>
    <font>
      <sz val="10"/>
      <name val="Univers"/>
      <family val="2"/>
    </font>
    <font>
      <sz val="10"/>
      <color indexed="16"/>
      <name val="MS Serif"/>
      <family val="1"/>
    </font>
    <font>
      <b/>
      <u/>
      <sz val="12"/>
      <name val="Arial Narrow"/>
      <family val="2"/>
    </font>
    <font>
      <sz val="10"/>
      <name val="Helvetica 45 Light"/>
    </font>
    <font>
      <i/>
      <sz val="11"/>
      <color indexed="23"/>
      <name val="Calibri"/>
      <family val="2"/>
    </font>
    <font>
      <b/>
      <sz val="7"/>
      <color indexed="12"/>
      <name val="Arial"/>
      <family val="2"/>
    </font>
    <font>
      <sz val="7"/>
      <name val="Palatino"/>
      <family val="1"/>
    </font>
    <font>
      <b/>
      <sz val="8"/>
      <name val="Helv"/>
    </font>
    <font>
      <sz val="9"/>
      <name val="Geneva"/>
      <family val="2"/>
    </font>
    <font>
      <sz val="11"/>
      <color indexed="17"/>
      <name val="Calibri"/>
      <family val="2"/>
    </font>
    <font>
      <b/>
      <sz val="10"/>
      <color indexed="58"/>
      <name val="Arial"/>
      <family val="2"/>
    </font>
    <font>
      <sz val="6"/>
      <color indexed="16"/>
      <name val="Palatino"/>
      <family val="1"/>
    </font>
    <font>
      <b/>
      <sz val="8"/>
      <color indexed="8"/>
      <name val="Tahoma"/>
      <family val="2"/>
    </font>
    <font>
      <b/>
      <sz val="8"/>
      <color indexed="9"/>
      <name val="Tahoma"/>
      <family val="2"/>
    </font>
    <font>
      <b/>
      <u/>
      <sz val="8"/>
      <color indexed="8"/>
      <name val="Tahoma"/>
      <family val="2"/>
    </font>
    <font>
      <b/>
      <u/>
      <sz val="18"/>
      <name val="Geneva"/>
      <family val="2"/>
    </font>
    <font>
      <b/>
      <sz val="15"/>
      <color indexed="62"/>
      <name val="Calibri"/>
      <family val="2"/>
    </font>
    <font>
      <b/>
      <sz val="14"/>
      <name val="Univers"/>
      <family val="2"/>
    </font>
    <font>
      <b/>
      <sz val="15"/>
      <color indexed="56"/>
      <name val="Calibri"/>
      <family val="2"/>
    </font>
    <font>
      <b/>
      <sz val="13"/>
      <color indexed="62"/>
      <name val="Calibri"/>
      <family val="2"/>
    </font>
    <font>
      <sz val="18"/>
      <name val="Helvetica-Black"/>
    </font>
    <font>
      <b/>
      <sz val="13"/>
      <color indexed="56"/>
      <name val="Calibri"/>
      <family val="2"/>
    </font>
    <font>
      <b/>
      <sz val="11"/>
      <color indexed="62"/>
      <name val="Calibri"/>
      <family val="2"/>
    </font>
    <font>
      <i/>
      <sz val="14"/>
      <name val="Palatino"/>
      <family val="1"/>
    </font>
    <font>
      <b/>
      <sz val="11"/>
      <color indexed="56"/>
      <name val="Calibri"/>
      <family val="2"/>
    </font>
    <font>
      <b/>
      <sz val="10"/>
      <name val="Geneva"/>
      <family val="2"/>
    </font>
    <font>
      <b/>
      <sz val="10"/>
      <name val="Univers"/>
      <family val="2"/>
    </font>
    <font>
      <b/>
      <sz val="8"/>
      <name val="MS Sans Serif"/>
      <family val="2"/>
    </font>
    <font>
      <b/>
      <sz val="9"/>
      <name val="Helv"/>
    </font>
    <font>
      <sz val="10"/>
      <color indexed="9"/>
      <name val="Arial"/>
      <family val="2"/>
    </font>
    <font>
      <b/>
      <sz val="10.75"/>
      <name val="Arial"/>
      <family val="2"/>
    </font>
    <font>
      <b/>
      <i/>
      <sz val="20"/>
      <name val="Century Gothic"/>
      <family val="2"/>
    </font>
    <font>
      <sz val="9"/>
      <color indexed="17"/>
      <name val="Helv"/>
    </font>
    <font>
      <sz val="11"/>
      <color indexed="62"/>
      <name val="Calibri"/>
      <family val="2"/>
    </font>
    <font>
      <b/>
      <u/>
      <sz val="10"/>
      <color indexed="12"/>
      <name val="Times New Roman"/>
      <family val="1"/>
    </font>
    <font>
      <sz val="8"/>
      <color indexed="39"/>
      <name val="Arial"/>
      <family val="2"/>
    </font>
    <font>
      <sz val="8"/>
      <color indexed="12"/>
      <name val="Tahoma"/>
      <family val="2"/>
    </font>
    <font>
      <sz val="1"/>
      <color indexed="9"/>
      <name val="Symbol"/>
      <family val="1"/>
      <charset val="2"/>
    </font>
    <font>
      <sz val="8"/>
      <color indexed="10"/>
      <name val="Helv"/>
    </font>
    <font>
      <b/>
      <i/>
      <sz val="20"/>
      <color indexed="8"/>
      <name val="Arial"/>
      <family val="2"/>
    </font>
    <font>
      <u/>
      <sz val="7.5"/>
      <color indexed="12"/>
      <name val="Arial"/>
      <family val="2"/>
    </font>
    <font>
      <b/>
      <sz val="10"/>
      <color indexed="8"/>
      <name val="Arial"/>
      <family val="2"/>
    </font>
    <font>
      <sz val="10"/>
      <color indexed="16"/>
      <name val="MS Sans Serif"/>
      <family val="2"/>
    </font>
    <font>
      <sz val="11"/>
      <color indexed="53"/>
      <name val="Calibri"/>
      <family val="2"/>
    </font>
    <font>
      <sz val="11"/>
      <color indexed="52"/>
      <name val="Calibri"/>
      <family val="2"/>
    </font>
    <font>
      <sz val="8"/>
      <name val="Palatino"/>
      <family val="1"/>
    </font>
    <font>
      <b/>
      <u val="singleAccounting"/>
      <sz val="9"/>
      <color indexed="9"/>
      <name val="Arial"/>
      <family val="2"/>
    </font>
    <font>
      <sz val="11"/>
      <color indexed="19"/>
      <name val="Calibri"/>
      <family val="2"/>
    </font>
    <font>
      <sz val="11"/>
      <color indexed="60"/>
      <name val="Calibri"/>
      <family val="2"/>
    </font>
    <font>
      <b/>
      <u val="singleAccounting"/>
      <sz val="8"/>
      <color indexed="8"/>
      <name val="Verdana"/>
      <family val="2"/>
    </font>
    <font>
      <b/>
      <sz val="12"/>
      <color indexed="8"/>
      <name val="Verdana"/>
      <family val="2"/>
    </font>
    <font>
      <sz val="7"/>
      <name val="Small Fonts"/>
      <family val="2"/>
    </font>
    <font>
      <b/>
      <sz val="8"/>
      <color indexed="23"/>
      <name val="Verdana"/>
      <family val="2"/>
    </font>
    <font>
      <sz val="10"/>
      <name val="Tahoma"/>
      <family val="2"/>
    </font>
    <font>
      <sz val="10"/>
      <name val="Arial CE"/>
    </font>
    <font>
      <sz val="10"/>
      <name val="Palatino"/>
      <family val="1"/>
    </font>
    <font>
      <i/>
      <sz val="10"/>
      <name val="Arial"/>
      <family val="2"/>
    </font>
    <font>
      <sz val="7"/>
      <color indexed="12"/>
      <name val="Arial"/>
      <family val="2"/>
    </font>
    <font>
      <i/>
      <sz val="10"/>
      <name val="Helv"/>
    </font>
    <font>
      <sz val="11"/>
      <name val="Times New Roman"/>
      <family val="1"/>
    </font>
    <font>
      <sz val="24"/>
      <name val="MS Sans Serif"/>
      <family val="2"/>
    </font>
    <font>
      <sz val="8"/>
      <color indexed="32"/>
      <name val="Comic Sans MS"/>
      <family val="4"/>
    </font>
    <font>
      <b/>
      <sz val="11"/>
      <color indexed="63"/>
      <name val="Calibri"/>
      <family val="2"/>
    </font>
    <font>
      <sz val="11"/>
      <color indexed="8"/>
      <name val="Times New Roman"/>
      <family val="1"/>
    </font>
    <font>
      <b/>
      <i/>
      <sz val="10"/>
      <color indexed="8"/>
      <name val="Arial"/>
      <family val="2"/>
    </font>
    <font>
      <b/>
      <sz val="11"/>
      <color indexed="16"/>
      <name val="Times New Roman"/>
      <family val="1"/>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12"/>
      <color indexed="8"/>
      <name val="Times New Roman"/>
      <family val="1"/>
    </font>
    <font>
      <sz val="8"/>
      <color indexed="18"/>
      <name val="Arial"/>
      <family val="2"/>
    </font>
    <font>
      <b/>
      <u/>
      <sz val="10"/>
      <name val="Arial"/>
      <family val="2"/>
    </font>
    <font>
      <sz val="7"/>
      <color indexed="10"/>
      <name val="MS Sans Serif"/>
      <family val="2"/>
    </font>
    <font>
      <sz val="10"/>
      <name val="Tms Rmn"/>
      <family val="1"/>
    </font>
    <font>
      <sz val="10"/>
      <name val="Tms Rmn"/>
    </font>
    <font>
      <sz val="16"/>
      <color indexed="9"/>
      <name val="Tahoma"/>
      <family val="2"/>
    </font>
    <font>
      <sz val="9"/>
      <color indexed="8"/>
      <name val="Helv"/>
    </font>
    <font>
      <sz val="8"/>
      <color indexed="10"/>
      <name val="Arial"/>
      <family val="2"/>
    </font>
    <font>
      <sz val="9"/>
      <color indexed="20"/>
      <name val="Helv"/>
    </font>
    <font>
      <sz val="8"/>
      <name val="Wingdings"/>
      <charset val="2"/>
    </font>
    <font>
      <b/>
      <sz val="12"/>
      <color indexed="8"/>
      <name val="Arial"/>
      <family val="2"/>
    </font>
    <font>
      <sz val="8"/>
      <name val="Helv"/>
      <family val="2"/>
    </font>
    <font>
      <sz val="8"/>
      <name val="Helv"/>
    </font>
    <font>
      <sz val="8"/>
      <name val="COUR"/>
    </font>
    <font>
      <sz val="8"/>
      <color indexed="8"/>
      <name val="Arial"/>
      <family val="2"/>
    </font>
    <font>
      <sz val="11"/>
      <color indexed="16"/>
      <name val="Arial"/>
      <family val="2"/>
    </font>
    <font>
      <sz val="9.5"/>
      <color indexed="23"/>
      <name val="Helvetica-Black"/>
    </font>
    <font>
      <b/>
      <sz val="8"/>
      <color indexed="9"/>
      <name val="Verdana"/>
      <family val="2"/>
    </font>
    <font>
      <sz val="10"/>
      <color indexed="8"/>
      <name val="Geneva"/>
      <family val="2"/>
    </font>
    <font>
      <sz val="9"/>
      <color indexed="18"/>
      <name val="Wingdings"/>
      <charset val="2"/>
    </font>
    <font>
      <sz val="10"/>
      <name val="ACaslon Regular"/>
    </font>
    <font>
      <b/>
      <i/>
      <sz val="14"/>
      <name val="Arial"/>
      <family val="2"/>
    </font>
    <font>
      <b/>
      <sz val="11"/>
      <name val="Arial"/>
      <family val="2"/>
    </font>
    <font>
      <vertAlign val="subscript"/>
      <sz val="8"/>
      <color indexed="8"/>
      <name val="Arial"/>
      <family val="2"/>
    </font>
    <font>
      <b/>
      <sz val="8"/>
      <color indexed="8"/>
      <name val="Helv"/>
      <family val="2"/>
    </font>
    <font>
      <b/>
      <sz val="8"/>
      <color indexed="8"/>
      <name val="Helv"/>
    </font>
    <font>
      <vertAlign val="superscript"/>
      <sz val="8"/>
      <color indexed="8"/>
      <name val="Arial"/>
      <family val="2"/>
    </font>
    <font>
      <b/>
      <sz val="9"/>
      <name val="Palatino"/>
      <family val="1"/>
    </font>
    <font>
      <sz val="9"/>
      <color indexed="21"/>
      <name val="Helvetica-Black"/>
    </font>
    <font>
      <b/>
      <sz val="10"/>
      <name val="Palatino"/>
      <family val="1"/>
    </font>
    <font>
      <b/>
      <sz val="8"/>
      <color indexed="63"/>
      <name val="Verdana"/>
      <family val="2"/>
    </font>
    <font>
      <sz val="12"/>
      <color indexed="8"/>
      <name val="Palatino"/>
      <family val="1"/>
    </font>
    <font>
      <sz val="11"/>
      <color indexed="8"/>
      <name val="Helvetica-Black"/>
    </font>
    <font>
      <i/>
      <sz val="8"/>
      <color indexed="8"/>
      <name val="Arial"/>
      <family val="2"/>
    </font>
    <font>
      <sz val="7"/>
      <name val="Arial"/>
      <family val="2"/>
    </font>
    <font>
      <b/>
      <sz val="18"/>
      <color indexed="62"/>
      <name val="Cambria"/>
      <family val="2"/>
    </font>
    <font>
      <b/>
      <sz val="16"/>
      <color indexed="9"/>
      <name val="Tahoma"/>
      <family val="2"/>
    </font>
    <font>
      <b/>
      <sz val="18"/>
      <color theme="3"/>
      <name val="Cambria"/>
      <family val="2"/>
    </font>
    <font>
      <b/>
      <sz val="18"/>
      <color indexed="56"/>
      <name val="Cambria"/>
      <family val="2"/>
    </font>
    <font>
      <b/>
      <sz val="13"/>
      <color indexed="8"/>
      <name val="Verdana"/>
      <family val="2"/>
    </font>
    <font>
      <b/>
      <sz val="13"/>
      <name val="Century Gothic"/>
      <family val="2"/>
    </font>
    <font>
      <b/>
      <sz val="10"/>
      <color indexed="8"/>
      <name val="Times New Roman"/>
      <family val="2"/>
    </font>
    <font>
      <sz val="8"/>
      <color indexed="36"/>
      <name val="Comic Sans MS"/>
      <family val="4"/>
    </font>
    <font>
      <sz val="18"/>
      <name val="Arial"/>
      <family val="2"/>
    </font>
    <font>
      <sz val="2.25"/>
      <name val="Arial"/>
      <family val="2"/>
    </font>
    <font>
      <sz val="8"/>
      <color indexed="8"/>
      <name val="Wingdings"/>
      <charset val="2"/>
    </font>
    <font>
      <sz val="8"/>
      <color indexed="9"/>
      <name val="Tahoma"/>
      <family val="2"/>
    </font>
    <font>
      <b/>
      <sz val="8"/>
      <color indexed="22"/>
      <name val="Arial"/>
      <family val="2"/>
    </font>
    <font>
      <b/>
      <sz val="10"/>
      <color indexed="10"/>
      <name val="Arial"/>
      <family val="2"/>
    </font>
    <font>
      <sz val="11"/>
      <color indexed="10"/>
      <name val="Calibri"/>
      <family val="2"/>
    </font>
    <font>
      <sz val="10"/>
      <color indexed="10"/>
      <name val="Times New Roman"/>
      <family val="2"/>
    </font>
    <font>
      <sz val="12"/>
      <name val="바탕체"/>
      <family val="1"/>
      <charset val="129"/>
    </font>
    <font>
      <sz val="12"/>
      <name val="뼻뮝"/>
      <family val="1"/>
    </font>
    <font>
      <sz val="12"/>
      <color indexed="60"/>
      <name val="新細明體"/>
      <family val="1"/>
      <charset val="136"/>
    </font>
    <font>
      <sz val="10"/>
      <name val="新細明體"/>
      <family val="1"/>
      <charset val="136"/>
    </font>
    <font>
      <b/>
      <sz val="12"/>
      <color indexed="8"/>
      <name val="新細明體"/>
      <family val="1"/>
      <charset val="136"/>
    </font>
    <font>
      <sz val="12"/>
      <color indexed="20"/>
      <name val="新細明體"/>
      <family val="1"/>
      <charset val="136"/>
    </font>
    <font>
      <sz val="10"/>
      <name val="굴림체"/>
      <family val="3"/>
    </font>
    <font>
      <sz val="12"/>
      <color indexed="17"/>
      <name val="新細明體"/>
      <family val="1"/>
      <charset val="136"/>
    </font>
    <font>
      <sz val="11"/>
      <color indexed="17"/>
      <name val="宋体"/>
      <charset val="134"/>
    </font>
    <font>
      <sz val="11"/>
      <color indexed="2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11"/>
      <color indexed="9"/>
      <name val="宋体"/>
      <charset val="134"/>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2"/>
      <color indexed="9"/>
      <name val="新細明體"/>
      <family val="1"/>
      <charset val="136"/>
    </font>
    <font>
      <b/>
      <sz val="11"/>
      <color indexed="8"/>
      <name val="宋体"/>
      <charset val="134"/>
    </font>
    <font>
      <i/>
      <sz val="11"/>
      <color indexed="23"/>
      <name val="宋体"/>
      <charset val="134"/>
    </font>
    <font>
      <b/>
      <sz val="12"/>
      <color indexed="52"/>
      <name val="新細明體"/>
      <family val="1"/>
      <charset val="136"/>
    </font>
    <font>
      <i/>
      <sz val="12"/>
      <color indexed="23"/>
      <name val="新細明體"/>
      <family val="1"/>
      <charset val="136"/>
    </font>
    <font>
      <sz val="12"/>
      <color indexed="10"/>
      <name val="新細明體"/>
      <family val="1"/>
      <charset val="136"/>
    </font>
    <font>
      <sz val="11"/>
      <color indexed="10"/>
      <name val="宋体"/>
      <charset val="134"/>
    </font>
    <font>
      <b/>
      <sz val="11"/>
      <color indexed="52"/>
      <name val="宋体"/>
      <charset val="134"/>
    </font>
    <font>
      <sz val="12"/>
      <color indexed="62"/>
      <name val="新細明體"/>
      <family val="1"/>
      <charset val="136"/>
    </font>
    <font>
      <b/>
      <sz val="12"/>
      <color indexed="63"/>
      <name val="新細明體"/>
      <family val="1"/>
      <charset val="136"/>
    </font>
    <font>
      <sz val="11"/>
      <color indexed="62"/>
      <name val="宋体"/>
      <charset val="134"/>
    </font>
    <font>
      <b/>
      <sz val="11"/>
      <color indexed="63"/>
      <name val="宋体"/>
      <charset val="134"/>
    </font>
    <font>
      <sz val="11"/>
      <color indexed="60"/>
      <name val="宋体"/>
      <charset val="134"/>
    </font>
    <font>
      <sz val="12"/>
      <color indexed="52"/>
      <name val="新細明體"/>
      <family val="1"/>
      <charset val="136"/>
    </font>
    <font>
      <sz val="11"/>
      <color indexed="52"/>
      <name val="宋体"/>
      <charset val="134"/>
    </font>
    <font>
      <sz val="10"/>
      <name val="Arial"/>
      <family val="2"/>
    </font>
    <font>
      <b/>
      <sz val="11"/>
      <color theme="1"/>
      <name val="Calibri"/>
      <family val="2"/>
      <scheme val="minor"/>
    </font>
    <font>
      <b/>
      <sz val="9"/>
      <color theme="1"/>
      <name val="Arial"/>
      <family val="2"/>
    </font>
    <font>
      <sz val="9"/>
      <color theme="1"/>
      <name val="Arial"/>
      <family val="2"/>
    </font>
    <font>
      <sz val="9"/>
      <color indexed="9"/>
      <name val="Arial"/>
      <family val="2"/>
    </font>
    <font>
      <vertAlign val="superscript"/>
      <sz val="9"/>
      <name val="Arial"/>
      <family val="2"/>
    </font>
    <font>
      <b/>
      <vertAlign val="superscript"/>
      <sz val="9"/>
      <name val="Arial"/>
      <family val="2"/>
    </font>
    <font>
      <b/>
      <vertAlign val="superscript"/>
      <sz val="9"/>
      <color theme="1"/>
      <name val="Arial"/>
      <family val="2"/>
    </font>
    <font>
      <vertAlign val="superscript"/>
      <sz val="10.5"/>
      <color indexed="8"/>
      <name val="Arial"/>
      <family val="2"/>
    </font>
    <font>
      <sz val="11"/>
      <color rgb="FFFF0000"/>
      <name val="Calibri"/>
      <family val="2"/>
    </font>
    <font>
      <i/>
      <sz val="10"/>
      <color rgb="FF7F7F7F"/>
      <name val="Times New Roman"/>
      <family val="2"/>
    </font>
    <font>
      <b/>
      <sz val="15"/>
      <color theme="3"/>
      <name val="Times New Roman"/>
      <family val="2"/>
    </font>
    <font>
      <b/>
      <sz val="13"/>
      <color theme="3"/>
      <name val="Times New Roman"/>
      <family val="2"/>
    </font>
    <font>
      <b/>
      <sz val="11"/>
      <color theme="3"/>
      <name val="Times New Roman"/>
      <family val="2"/>
    </font>
    <font>
      <sz val="10"/>
      <color rgb="FFFA7D00"/>
      <name val="Times New Roman"/>
      <family val="2"/>
    </font>
    <font>
      <b/>
      <sz val="11"/>
      <color rgb="FFFF0000"/>
      <name val="Calibri"/>
      <family val="2"/>
      <scheme val="minor"/>
    </font>
    <font>
      <sz val="10"/>
      <color theme="1"/>
      <name val="Arial"/>
      <family val="2"/>
    </font>
    <font>
      <vertAlign val="superscript"/>
      <sz val="10"/>
      <color theme="1"/>
      <name val="Arial"/>
      <family val="2"/>
    </font>
    <font>
      <u val="doubleAccounting"/>
      <sz val="9"/>
      <name val="Arial"/>
      <family val="2"/>
    </font>
    <font>
      <vertAlign val="superscript"/>
      <sz val="9"/>
      <color theme="1"/>
      <name val="Arial"/>
      <family val="2"/>
    </font>
    <font>
      <b/>
      <u val="singleAccounting"/>
      <sz val="9"/>
      <color theme="1"/>
      <name val="Arial"/>
      <family val="2"/>
    </font>
    <font>
      <b/>
      <sz val="11"/>
      <name val="Calibri"/>
      <family val="2"/>
    </font>
    <font>
      <sz val="9"/>
      <color theme="1"/>
      <name val="Calibri"/>
      <family val="2"/>
      <scheme val="minor"/>
    </font>
    <font>
      <vertAlign val="superscript"/>
      <sz val="9"/>
      <color theme="1"/>
      <name val="Calibri"/>
      <family val="2"/>
      <scheme val="minor"/>
    </font>
    <font>
      <vertAlign val="superscript"/>
      <sz val="9"/>
      <color indexed="8"/>
      <name val="Arial"/>
      <family val="2"/>
    </font>
    <font>
      <i/>
      <sz val="9"/>
      <name val="Arial"/>
      <family val="2"/>
    </font>
  </fonts>
  <fills count="76">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solid">
        <fgColor theme="4" tint="0.79998168889431442"/>
        <bgColor indexed="64"/>
      </patternFill>
    </fill>
    <fill>
      <patternFill patternType="solid">
        <fgColor indexed="26"/>
        <bgColor indexed="64"/>
      </patternFill>
    </fill>
    <fill>
      <patternFill patternType="solid">
        <fgColor theme="5" tint="0.79998168889431442"/>
        <bgColor indexed="64"/>
      </patternFill>
    </fill>
    <fill>
      <patternFill patternType="solid">
        <fgColor indexed="4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indexed="46"/>
        <bgColor indexed="64"/>
      </patternFill>
    </fill>
    <fill>
      <patternFill patternType="solid">
        <fgColor indexed="27"/>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47"/>
        <bgColor indexed="64"/>
      </patternFill>
    </fill>
    <fill>
      <patternFill patternType="solid">
        <fgColor theme="4" tint="0.59999389629810485"/>
        <bgColor indexed="64"/>
      </patternFill>
    </fill>
    <fill>
      <patternFill patternType="solid">
        <fgColor indexed="44"/>
        <bgColor indexed="64"/>
      </patternFill>
    </fill>
    <fill>
      <patternFill patternType="solid">
        <fgColor indexed="22"/>
        <bgColor indexed="64"/>
      </patternFill>
    </fill>
    <fill>
      <patternFill patternType="solid">
        <fgColor theme="5" tint="0.59999389629810485"/>
        <bgColor indexed="64"/>
      </patternFill>
    </fill>
    <fill>
      <patternFill patternType="solid">
        <fgColor indexed="29"/>
        <bgColor indexed="64"/>
      </patternFill>
    </fill>
    <fill>
      <patternFill patternType="solid">
        <fgColor theme="6" tint="0.59999389629810485"/>
        <bgColor indexed="64"/>
      </patternFill>
    </fill>
    <fill>
      <patternFill patternType="solid">
        <fgColor indexed="1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51"/>
        <bgColor indexed="64"/>
      </patternFill>
    </fill>
    <fill>
      <patternFill patternType="solid">
        <fgColor theme="4" tint="0.39997558519241921"/>
        <bgColor indexed="64"/>
      </patternFill>
    </fill>
    <fill>
      <patternFill patternType="solid">
        <fgColor indexed="3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indexed="36"/>
        <bgColor indexed="64"/>
      </patternFill>
    </fill>
    <fill>
      <patternFill patternType="solid">
        <fgColor theme="8" tint="0.39997558519241921"/>
        <bgColor indexed="64"/>
      </patternFill>
    </fill>
    <fill>
      <patternFill patternType="solid">
        <fgColor indexed="49"/>
        <bgColor indexed="64"/>
      </patternFill>
    </fill>
    <fill>
      <patternFill patternType="solid">
        <fgColor theme="9" tint="0.39997558519241921"/>
        <bgColor indexed="64"/>
      </patternFill>
    </fill>
    <fill>
      <patternFill patternType="solid">
        <fgColor indexed="52"/>
        <bgColor indexed="64"/>
      </patternFill>
    </fill>
    <fill>
      <patternFill patternType="solid">
        <fgColor indexed="54"/>
        <bgColor indexed="64"/>
      </patternFill>
    </fill>
    <fill>
      <patternFill patternType="solid">
        <fgColor theme="4"/>
        <bgColor indexed="64"/>
      </patternFill>
    </fill>
    <fill>
      <patternFill patternType="solid">
        <fgColor indexed="62"/>
        <bgColor indexed="64"/>
      </patternFill>
    </fill>
    <fill>
      <patternFill patternType="solid">
        <fgColor indexed="25"/>
        <bgColor indexed="64"/>
      </patternFill>
    </fill>
    <fill>
      <patternFill patternType="solid">
        <fgColor theme="5"/>
        <bgColor indexed="64"/>
      </patternFill>
    </fill>
    <fill>
      <patternFill patternType="solid">
        <fgColor indexed="10"/>
        <bgColor indexed="64"/>
      </patternFill>
    </fill>
    <fill>
      <patternFill patternType="solid">
        <fgColor indexed="55"/>
        <bgColor indexed="64"/>
      </patternFill>
    </fill>
    <fill>
      <patternFill patternType="solid">
        <fgColor theme="6"/>
        <bgColor indexed="64"/>
      </patternFill>
    </fill>
    <fill>
      <patternFill patternType="solid">
        <fgColor indexed="57"/>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53"/>
        <bgColor indexed="64"/>
      </patternFill>
    </fill>
    <fill>
      <patternFill patternType="solid">
        <fgColor indexed="18"/>
        <bgColor indexed="64"/>
      </patternFill>
    </fill>
    <fill>
      <patternFill patternType="solid">
        <fgColor rgb="FFFFC7CE"/>
        <bgColor indexed="64"/>
      </patternFill>
    </fill>
    <fill>
      <patternFill patternType="solid">
        <fgColor indexed="8"/>
        <bgColor indexed="64"/>
      </patternFill>
    </fill>
    <fill>
      <patternFill patternType="solid">
        <fgColor indexed="34"/>
        <bgColor indexed="64"/>
      </patternFill>
    </fill>
    <fill>
      <patternFill patternType="solid">
        <fgColor rgb="FFF2F2F2"/>
        <bgColor indexed="64"/>
      </patternFill>
    </fill>
    <fill>
      <patternFill patternType="lightGray">
        <fgColor indexed="15"/>
      </patternFill>
    </fill>
    <fill>
      <patternFill patternType="solid">
        <fgColor rgb="FFA5A5A5"/>
        <bgColor indexed="64"/>
      </patternFill>
    </fill>
    <fill>
      <patternFill patternType="solid">
        <fgColor indexed="12"/>
        <bgColor indexed="64"/>
      </patternFill>
    </fill>
    <fill>
      <patternFill patternType="solid">
        <fgColor indexed="60"/>
        <bgColor indexed="64"/>
      </patternFill>
    </fill>
    <fill>
      <patternFill patternType="solid">
        <fgColor indexed="48"/>
        <bgColor indexed="64"/>
      </patternFill>
    </fill>
    <fill>
      <patternFill patternType="solid">
        <fgColor indexed="23"/>
        <bgColor indexed="64"/>
      </patternFill>
    </fill>
    <fill>
      <patternFill patternType="solid">
        <fgColor indexed="14"/>
        <bgColor indexed="64"/>
      </patternFill>
    </fill>
    <fill>
      <patternFill patternType="solid">
        <fgColor indexed="40"/>
        <bgColor indexed="64"/>
      </patternFill>
    </fill>
    <fill>
      <patternFill patternType="solid">
        <fgColor rgb="FFC6EFCE"/>
        <bgColor indexed="64"/>
      </patternFill>
    </fill>
    <fill>
      <patternFill patternType="solid">
        <fgColor indexed="15"/>
        <bgColor indexed="64"/>
      </patternFill>
    </fill>
    <fill>
      <patternFill patternType="solid">
        <fgColor rgb="FFFFEB9C"/>
        <bgColor indexed="64"/>
      </patternFill>
    </fill>
    <fill>
      <patternFill patternType="solid">
        <fgColor indexed="63"/>
        <bgColor indexed="64"/>
      </patternFill>
    </fill>
    <fill>
      <patternFill patternType="solid">
        <fgColor indexed="13"/>
        <bgColor indexed="64"/>
      </patternFill>
    </fill>
    <fill>
      <patternFill patternType="solid">
        <fgColor indexed="17"/>
        <bgColor indexed="64"/>
      </patternFill>
    </fill>
    <fill>
      <patternFill patternType="mediumGray">
        <fgColor indexed="22"/>
      </patternFill>
    </fill>
    <fill>
      <patternFill patternType="darkVertical"/>
    </fill>
    <fill>
      <patternFill patternType="solid">
        <fgColor indexed="56"/>
        <bgColor indexed="64"/>
      </patternFill>
    </fill>
    <fill>
      <patternFill patternType="solid">
        <fgColor indexed="16"/>
        <bgColor indexed="64"/>
      </patternFill>
    </fill>
    <fill>
      <patternFill patternType="solid">
        <fgColor theme="0"/>
        <bgColor indexed="64"/>
      </patternFill>
    </fill>
  </fills>
  <borders count="108">
    <border>
      <left/>
      <right/>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top style="thin">
        <color indexed="64"/>
      </top>
      <bottom/>
      <diagonal/>
    </border>
    <border>
      <left/>
      <right/>
      <top style="medium">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double">
        <color indexed="64"/>
      </left>
      <right/>
      <top/>
      <bottom style="hair">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medium">
        <color indexed="9"/>
      </right>
      <top/>
      <bottom style="medium">
        <color indexed="9"/>
      </bottom>
      <diagonal/>
    </border>
    <border>
      <left style="medium">
        <color indexed="9"/>
      </left>
      <right style="medium">
        <color indexed="9"/>
      </right>
      <top/>
      <bottom/>
      <diagonal/>
    </border>
    <border>
      <left style="medium">
        <color indexed="8"/>
      </left>
      <right style="medium">
        <color indexed="8"/>
      </right>
      <top style="thin">
        <color indexed="8"/>
      </top>
      <bottom style="medium">
        <color indexed="64"/>
      </bottom>
      <diagonal/>
    </border>
    <border>
      <left/>
      <right/>
      <top/>
      <bottom style="thin">
        <color indexed="4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diagonal/>
    </border>
    <border>
      <left style="hair">
        <color indexed="56"/>
      </left>
      <right style="hair">
        <color indexed="56"/>
      </right>
      <top style="hair">
        <color indexed="56"/>
      </top>
      <bottom style="hair">
        <color indexed="56"/>
      </bottom>
      <diagonal/>
    </border>
    <border>
      <left style="thin">
        <color indexed="8"/>
      </left>
      <right style="thin">
        <color indexed="8"/>
      </right>
      <top/>
      <bottom style="thin">
        <color indexed="8"/>
      </bottom>
      <diagonal/>
    </border>
    <border>
      <left style="hair">
        <color indexed="32"/>
      </left>
      <right style="hair">
        <color indexed="32"/>
      </right>
      <top style="hair">
        <color indexed="32"/>
      </top>
      <bottom style="hair">
        <color indexed="32"/>
      </bottom>
      <diagonal/>
    </border>
    <border>
      <left/>
      <right/>
      <top style="double">
        <color indexed="64"/>
      </top>
      <bottom style="double">
        <color indexed="64"/>
      </bottom>
      <diagonal/>
    </border>
    <border>
      <left/>
      <right/>
      <top style="hair">
        <color indexed="8"/>
      </top>
      <bottom/>
      <diagonal/>
    </border>
    <border>
      <left style="medium">
        <color indexed="64"/>
      </left>
      <right style="medium">
        <color indexed="64"/>
      </right>
      <top style="medium">
        <color indexed="64"/>
      </top>
      <bottom style="medium">
        <color indexed="64"/>
      </bottom>
      <diagonal/>
    </border>
    <border>
      <left/>
      <right/>
      <top/>
      <bottom style="dashed">
        <color indexed="64"/>
      </bottom>
      <diagonal/>
    </border>
    <border>
      <left/>
      <right/>
      <top/>
      <bottom style="dotted">
        <color indexed="64"/>
      </bottom>
      <diagonal/>
    </border>
    <border>
      <left/>
      <right/>
      <top style="medium">
        <color indexed="8"/>
      </top>
      <bottom style="medium">
        <color indexed="8"/>
      </bottom>
      <diagonal/>
    </border>
    <border>
      <left style="thin">
        <color indexed="8"/>
      </left>
      <right/>
      <top/>
      <bottom/>
      <diagonal/>
    </border>
    <border>
      <left/>
      <right/>
      <top style="medium">
        <color indexed="64"/>
      </top>
      <bottom style="medium">
        <color indexed="64"/>
      </bottom>
      <diagonal/>
    </border>
    <border>
      <left/>
      <right/>
      <top/>
      <bottom style="medium">
        <color indexed="8"/>
      </bottom>
      <diagonal/>
    </border>
    <border>
      <left style="thin">
        <color indexed="8"/>
      </left>
      <right style="thin">
        <color indexed="55"/>
      </right>
      <top/>
      <bottom/>
      <diagonal/>
    </border>
    <border>
      <left/>
      <right/>
      <top/>
      <bottom style="thick">
        <color indexed="54"/>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hair">
        <color indexed="18"/>
      </left>
      <right style="hair">
        <color indexed="18"/>
      </right>
      <top style="hair">
        <color indexed="18"/>
      </top>
      <bottom style="hair">
        <color indexed="18"/>
      </bottom>
      <diagonal/>
    </border>
    <border>
      <left style="medium">
        <color indexed="8"/>
      </left>
      <right style="medium">
        <color indexed="8"/>
      </right>
      <top/>
      <bottom/>
      <diagonal/>
    </border>
    <border>
      <left style="thin">
        <color indexed="55"/>
      </left>
      <right style="thin">
        <color indexed="55"/>
      </right>
      <top style="thin">
        <color indexed="55"/>
      </top>
      <bottom style="thin">
        <color indexed="55"/>
      </bottom>
      <diagonal/>
    </border>
    <border>
      <left/>
      <right/>
      <top/>
      <bottom style="double">
        <color indexed="52"/>
      </bottom>
      <diagonal/>
    </border>
    <border>
      <left/>
      <right/>
      <top style="thin">
        <color indexed="8"/>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hair">
        <color indexed="58"/>
      </left>
      <right style="thin">
        <color indexed="58"/>
      </right>
      <top style="hair">
        <color indexed="58"/>
      </top>
      <bottom style="hair">
        <color indexed="58"/>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hair">
        <color indexed="62"/>
      </left>
      <right style="hair">
        <color indexed="62"/>
      </right>
      <top style="hair">
        <color indexed="62"/>
      </top>
      <bottom style="hair">
        <color indexed="62"/>
      </bottom>
      <diagonal/>
    </border>
    <border>
      <left style="thin">
        <color indexed="64"/>
      </left>
      <right/>
      <top style="thin">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17"/>
      </left>
      <right style="hair">
        <color indexed="17"/>
      </right>
      <top style="hair">
        <color indexed="17"/>
      </top>
      <bottom style="hair">
        <color indexed="17"/>
      </bottom>
      <diagonal/>
    </border>
    <border>
      <left style="thin">
        <color indexed="8"/>
      </left>
      <right style="thin">
        <color indexed="8"/>
      </right>
      <top/>
      <bottom/>
      <diagonal/>
    </border>
    <border>
      <left/>
      <right/>
      <top style="thin">
        <color indexed="64"/>
      </top>
      <bottom style="double">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medium">
        <color rgb="FF000000"/>
      </bottom>
      <diagonal/>
    </border>
    <border>
      <left/>
      <right/>
      <top style="medium">
        <color rgb="FF000000"/>
      </top>
      <bottom style="medium">
        <color rgb="FF000000"/>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indexed="64"/>
      </left>
      <right style="thin">
        <color indexed="64"/>
      </right>
      <top/>
      <bottom style="thin">
        <color indexed="64"/>
      </bottom>
      <diagonal/>
    </border>
  </borders>
  <cellStyleXfs count="4358">
    <xf numFmtId="0" fontId="0"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4" fillId="0" borderId="0" applyFont="0" applyFill="0" applyBorder="0" applyAlignment="0" applyProtection="0"/>
    <xf numFmtId="0" fontId="27" fillId="0" borderId="0"/>
    <xf numFmtId="43" fontId="4" fillId="0" borderId="0" applyFont="0" applyFill="0" applyBorder="0" applyAlignment="0" applyProtection="0"/>
    <xf numFmtId="9" fontId="4" fillId="0" borderId="0" applyFont="0" applyFill="0" applyBorder="0" applyAlignment="0" applyProtection="0"/>
    <xf numFmtId="0" fontId="27" fillId="0" borderId="0"/>
    <xf numFmtId="0" fontId="12" fillId="0" borderId="0"/>
    <xf numFmtId="0" fontId="4" fillId="0" borderId="0"/>
    <xf numFmtId="0" fontId="4" fillId="0" borderId="0"/>
    <xf numFmtId="0" fontId="4" fillId="0" borderId="0"/>
    <xf numFmtId="9" fontId="43" fillId="0" borderId="0">
      <alignment horizontal="right"/>
    </xf>
    <xf numFmtId="0" fontId="4" fillId="0" borderId="0"/>
    <xf numFmtId="0" fontId="36" fillId="0" borderId="0"/>
    <xf numFmtId="0" fontId="44" fillId="0" borderId="0"/>
    <xf numFmtId="3" fontId="4" fillId="0" borderId="0"/>
    <xf numFmtId="169" fontId="1" fillId="0" borderId="0"/>
    <xf numFmtId="170" fontId="45" fillId="0" borderId="0">
      <alignment horizontal="right"/>
    </xf>
    <xf numFmtId="0" fontId="4" fillId="0" borderId="0"/>
    <xf numFmtId="0" fontId="46" fillId="0" borderId="0"/>
    <xf numFmtId="0" fontId="4" fillId="0" borderId="0">
      <alignment vertical="top"/>
    </xf>
    <xf numFmtId="0" fontId="47" fillId="0" borderId="0"/>
    <xf numFmtId="171" fontId="4" fillId="0" borderId="0" applyFont="0" applyFill="0" applyBorder="0" applyAlignment="0" applyProtection="0"/>
    <xf numFmtId="172" fontId="4" fillId="0" borderId="0" applyFont="0" applyFill="0" applyBorder="0" applyAlignment="0" applyProtection="0"/>
    <xf numFmtId="173" fontId="4" fillId="0" borderId="0" applyFont="0" applyFill="0" applyBorder="0" applyAlignment="0" applyProtection="0"/>
    <xf numFmtId="174" fontId="47" fillId="0" borderId="0" applyFont="0" applyFill="0" applyBorder="0" applyAlignment="0" applyProtection="0"/>
    <xf numFmtId="0" fontId="4" fillId="0" borderId="0"/>
    <xf numFmtId="175" fontId="37" fillId="0" borderId="0"/>
    <xf numFmtId="176" fontId="4" fillId="0" borderId="0" applyFont="0" applyFill="0" applyBorder="0" applyAlignment="0" applyProtection="0"/>
    <xf numFmtId="166" fontId="48" fillId="0" borderId="0" applyFont="0" applyFill="0" applyBorder="0" applyAlignment="0" applyProtection="0"/>
    <xf numFmtId="177" fontId="4" fillId="0" borderId="0" applyFont="0" applyFill="0" applyBorder="0" applyAlignment="0" applyProtection="0"/>
    <xf numFmtId="178" fontId="4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6" fillId="0" borderId="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9" fontId="4" fillId="0" borderId="0" applyFont="0" applyFill="0" applyBorder="0" applyAlignment="0" applyProtection="0"/>
    <xf numFmtId="0" fontId="1" fillId="0" borderId="0" applyFont="0" applyFill="0" applyBorder="0" applyAlignment="0" applyProtection="0"/>
    <xf numFmtId="180" fontId="48"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79" fontId="4" fillId="0" borderId="0" applyFont="0" applyFill="0" applyBorder="0" applyAlignment="0" applyProtection="0"/>
    <xf numFmtId="180" fontId="48" fillId="0" borderId="0" applyFont="0" applyFill="0" applyBorder="0" applyAlignment="0" applyProtection="0"/>
    <xf numFmtId="179" fontId="4" fillId="0" borderId="0" applyFont="0" applyFill="0" applyBorder="0" applyAlignment="0" applyProtection="0"/>
    <xf numFmtId="180" fontId="48"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0" fontId="27"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2" fontId="4" fillId="0" borderId="0" applyFont="0" applyFill="0" applyBorder="0" applyAlignment="0" applyProtection="0"/>
    <xf numFmtId="0" fontId="1"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1" fontId="48"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4" fontId="48" fillId="0" borderId="0" applyFont="0" applyFill="0" applyBorder="0" applyAlignment="0" applyProtection="0"/>
    <xf numFmtId="183" fontId="4" fillId="0" borderId="0" applyFont="0" applyFill="0" applyBorder="0" applyAlignment="0" applyProtection="0"/>
    <xf numFmtId="182" fontId="4" fillId="0" borderId="0" applyFont="0" applyFill="0" applyBorder="0" applyAlignment="0" applyProtection="0"/>
    <xf numFmtId="181" fontId="48" fillId="0" borderId="0" applyFont="0" applyFill="0" applyBorder="0" applyAlignment="0" applyProtection="0"/>
    <xf numFmtId="182" fontId="4" fillId="0" borderId="0" applyFont="0" applyFill="0" applyBorder="0" applyAlignment="0" applyProtection="0"/>
    <xf numFmtId="181" fontId="48"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182"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184" fontId="48" fillId="0" borderId="0" applyFont="0" applyFill="0" applyBorder="0" applyAlignment="0" applyProtection="0"/>
    <xf numFmtId="183" fontId="4" fillId="0" borderId="0" applyFont="0" applyFill="0" applyBorder="0" applyAlignment="0" applyProtection="0"/>
    <xf numFmtId="184" fontId="48" fillId="0" borderId="0" applyFont="0" applyFill="0" applyBorder="0" applyAlignment="0" applyProtection="0"/>
    <xf numFmtId="183" fontId="4" fillId="0" borderId="0" applyFont="0" applyFill="0" applyBorder="0" applyAlignment="0" applyProtection="0"/>
    <xf numFmtId="186" fontId="4" fillId="0" borderId="0" applyFont="0" applyFill="0" applyBorder="0" applyAlignment="0" applyProtection="0"/>
    <xf numFmtId="187" fontId="4" fillId="0" borderId="0" applyFont="0" applyFill="0" applyBorder="0" applyAlignment="0" applyProtection="0"/>
    <xf numFmtId="0" fontId="1" fillId="0" borderId="0" applyFont="0" applyFill="0" applyBorder="0" applyAlignment="0" applyProtection="0"/>
    <xf numFmtId="187" fontId="4" fillId="0" borderId="0" applyFont="0" applyFill="0" applyBorder="0" applyAlignment="0" applyProtection="0"/>
    <xf numFmtId="188" fontId="48" fillId="0" borderId="0" applyFont="0" applyFill="0" applyBorder="0" applyAlignment="0" applyProtection="0"/>
    <xf numFmtId="181"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187" fontId="4" fillId="0" borderId="0" applyFont="0" applyFill="0" applyBorder="0" applyAlignment="0" applyProtection="0"/>
    <xf numFmtId="188" fontId="48" fillId="0" borderId="0" applyFont="0" applyFill="0" applyBorder="0" applyAlignment="0" applyProtection="0"/>
    <xf numFmtId="187" fontId="4" fillId="0" borderId="0" applyFont="0" applyFill="0" applyBorder="0" applyAlignment="0" applyProtection="0"/>
    <xf numFmtId="188" fontId="48" fillId="0" borderId="0" applyFont="0" applyFill="0" applyBorder="0" applyAlignment="0" applyProtection="0"/>
    <xf numFmtId="181"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4" fillId="0" borderId="0"/>
    <xf numFmtId="0" fontId="4" fillId="0" borderId="0"/>
    <xf numFmtId="0" fontId="4" fillId="0" borderId="0"/>
    <xf numFmtId="0" fontId="4" fillId="0" borderId="0"/>
    <xf numFmtId="0" fontId="4" fillId="0" borderId="0"/>
    <xf numFmtId="189" fontId="4" fillId="0" borderId="0" applyFont="0" applyFill="0" applyBorder="0" applyAlignment="0" applyProtection="0"/>
    <xf numFmtId="190" fontId="4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Border="0"/>
    <xf numFmtId="0" fontId="4"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2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4" fillId="0" borderId="0"/>
    <xf numFmtId="0" fontId="44" fillId="0" borderId="0"/>
    <xf numFmtId="0" fontId="44" fillId="0" borderId="0"/>
    <xf numFmtId="0" fontId="44"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1" fontId="4" fillId="0" borderId="0" applyFont="0" applyFill="0" applyBorder="0" applyAlignment="0" applyProtection="0"/>
    <xf numFmtId="192" fontId="4" fillId="0" borderId="0" applyFont="0" applyFill="0" applyBorder="0" applyAlignment="0" applyProtection="0"/>
    <xf numFmtId="0" fontId="1" fillId="0" borderId="0" applyFont="0" applyFill="0" applyBorder="0" applyAlignment="0" applyProtection="0"/>
    <xf numFmtId="191" fontId="4" fillId="0" borderId="0" applyFont="0" applyFill="0" applyBorder="0" applyAlignment="0" applyProtection="0"/>
    <xf numFmtId="192"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4" fontId="48" fillId="0" borderId="0" applyFont="0" applyFill="0" applyBorder="0" applyAlignment="0" applyProtection="0"/>
    <xf numFmtId="193" fontId="4" fillId="0" borderId="0" applyFont="0" applyFill="0" applyBorder="0" applyAlignment="0" applyProtection="0"/>
    <xf numFmtId="191"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4" fontId="48" fillId="0" borderId="0" applyFont="0" applyFill="0" applyBorder="0" applyAlignment="0" applyProtection="0"/>
    <xf numFmtId="193" fontId="4" fillId="0" borderId="0" applyFont="0" applyFill="0" applyBorder="0" applyAlignment="0" applyProtection="0"/>
    <xf numFmtId="194" fontId="48" fillId="0" borderId="0" applyFont="0" applyFill="0" applyBorder="0" applyAlignment="0" applyProtection="0"/>
    <xf numFmtId="192" fontId="4" fillId="0" borderId="0" applyFont="0" applyFill="0" applyBorder="0" applyAlignment="0" applyProtection="0"/>
    <xf numFmtId="195" fontId="4" fillId="0" borderId="0" applyFont="0" applyFill="0" applyBorder="0" applyProtection="0">
      <alignment horizontal="right"/>
    </xf>
    <xf numFmtId="196" fontId="4" fillId="0" borderId="0" applyFont="0" applyFill="0" applyBorder="0" applyAlignment="0" applyProtection="0"/>
    <xf numFmtId="0" fontId="1" fillId="0" borderId="0" applyFont="0" applyFill="0" applyBorder="0" applyAlignment="0" applyProtection="0"/>
    <xf numFmtId="195" fontId="4" fillId="0" borderId="0" applyFont="0" applyFill="0" applyBorder="0" applyProtection="0">
      <alignment horizontal="right"/>
    </xf>
    <xf numFmtId="196" fontId="4" fillId="0" borderId="0" applyFont="0" applyFill="0" applyBorder="0" applyProtection="0">
      <alignment horizontal="right"/>
    </xf>
    <xf numFmtId="197" fontId="48" fillId="0" borderId="0" applyFont="0" applyFill="0" applyBorder="0" applyProtection="0">
      <alignment horizontal="right"/>
    </xf>
    <xf numFmtId="198" fontId="4" fillId="0" borderId="0" applyFont="0" applyFill="0" applyBorder="0" applyAlignment="0" applyProtection="0"/>
    <xf numFmtId="198" fontId="4" fillId="0" borderId="0" applyFont="0" applyFill="0" applyBorder="0" applyAlignment="0" applyProtection="0"/>
    <xf numFmtId="199" fontId="48" fillId="0" borderId="0" applyFont="0" applyFill="0" applyBorder="0" applyAlignment="0" applyProtection="0"/>
    <xf numFmtId="198" fontId="4" fillId="0" borderId="0" applyFont="0" applyFill="0" applyBorder="0" applyAlignment="0" applyProtection="0"/>
    <xf numFmtId="195" fontId="4" fillId="0" borderId="0" applyFont="0" applyFill="0" applyBorder="0" applyProtection="0">
      <alignment horizontal="right"/>
    </xf>
    <xf numFmtId="195" fontId="4" fillId="0" borderId="0" applyFont="0" applyFill="0" applyBorder="0" applyProtection="0">
      <alignment horizontal="right"/>
    </xf>
    <xf numFmtId="197" fontId="48" fillId="0" borderId="0" applyFont="0" applyFill="0" applyBorder="0" applyProtection="0">
      <alignment horizontal="right"/>
    </xf>
    <xf numFmtId="195" fontId="4" fillId="0" borderId="0" applyFont="0" applyFill="0" applyBorder="0" applyProtection="0">
      <alignment horizontal="right"/>
    </xf>
    <xf numFmtId="197" fontId="48" fillId="0" borderId="0" applyFont="0" applyFill="0" applyBorder="0" applyProtection="0">
      <alignment horizontal="right"/>
    </xf>
    <xf numFmtId="198" fontId="4" fillId="0" borderId="0" applyFont="0" applyFill="0" applyBorder="0" applyAlignment="0" applyProtection="0"/>
    <xf numFmtId="198" fontId="4" fillId="0" borderId="0" applyFont="0" applyFill="0" applyBorder="0" applyAlignment="0" applyProtection="0"/>
    <xf numFmtId="199" fontId="48" fillId="0" borderId="0" applyFont="0" applyFill="0" applyBorder="0" applyAlignment="0" applyProtection="0"/>
    <xf numFmtId="198" fontId="4" fillId="0" borderId="0" applyFont="0" applyFill="0" applyBorder="0" applyAlignment="0" applyProtection="0"/>
    <xf numFmtId="199" fontId="48" fillId="0" borderId="0" applyFont="0" applyFill="0" applyBorder="0" applyAlignment="0" applyProtection="0"/>
    <xf numFmtId="196" fontId="4" fillId="0" borderId="0" applyFont="0" applyFill="0" applyBorder="0" applyAlignment="0" applyProtection="0"/>
    <xf numFmtId="192" fontId="4" fillId="0" borderId="0" applyFont="0" applyFill="0" applyBorder="0" applyProtection="0">
      <alignment horizontal="right"/>
    </xf>
    <xf numFmtId="0" fontId="4" fillId="0" borderId="0"/>
    <xf numFmtId="0" fontId="4" fillId="0" borderId="0"/>
    <xf numFmtId="0" fontId="4" fillId="0" borderId="0"/>
    <xf numFmtId="0" fontId="44" fillId="0" borderId="0"/>
    <xf numFmtId="0" fontId="4" fillId="0" borderId="0"/>
    <xf numFmtId="0" fontId="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200" fontId="4" fillId="0" borderId="0" applyFont="0" applyFill="0" applyBorder="0" applyAlignment="0" applyProtection="0"/>
    <xf numFmtId="176" fontId="4" fillId="0" borderId="0" applyFont="0" applyFill="0" applyBorder="0" applyAlignment="0" applyProtection="0"/>
    <xf numFmtId="0" fontId="1" fillId="0" borderId="0" applyFont="0" applyFill="0" applyBorder="0" applyAlignment="0" applyProtection="0"/>
    <xf numFmtId="201" fontId="48" fillId="0" borderId="0" applyFont="0" applyFill="0" applyBorder="0" applyAlignment="0" applyProtection="0"/>
    <xf numFmtId="176" fontId="4" fillId="0" borderId="0" applyFont="0" applyFill="0" applyBorder="0" applyAlignment="0" applyProtection="0"/>
    <xf numFmtId="202" fontId="4" fillId="0" borderId="0" applyFont="0" applyFill="0" applyBorder="0" applyAlignment="0" applyProtection="0"/>
    <xf numFmtId="177" fontId="4" fillId="0" borderId="0" applyFont="0" applyFill="0" applyBorder="0" applyAlignment="0" applyProtection="0"/>
    <xf numFmtId="0" fontId="1" fillId="0" borderId="0" applyFont="0" applyFill="0" applyBorder="0" applyAlignment="0" applyProtection="0"/>
    <xf numFmtId="203" fontId="48" fillId="0" borderId="0" applyFont="0" applyFill="0" applyBorder="0" applyAlignment="0" applyProtection="0"/>
    <xf numFmtId="177"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0" fillId="0" borderId="0" applyNumberFormat="0" applyFill="0" applyBorder="0" applyProtection="0">
      <alignment vertical="top"/>
    </xf>
    <xf numFmtId="0" fontId="50" fillId="0" borderId="0" applyNumberFormat="0" applyFill="0" applyBorder="0" applyProtection="0">
      <alignment vertical="top"/>
    </xf>
    <xf numFmtId="0" fontId="50" fillId="0" borderId="0" applyNumberFormat="0" applyFill="0" applyBorder="0" applyProtection="0">
      <alignment vertical="top"/>
    </xf>
    <xf numFmtId="0" fontId="50" fillId="0" borderId="0" applyNumberFormat="0" applyFill="0" applyBorder="0" applyProtection="0">
      <alignment vertical="top"/>
    </xf>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Protection="0">
      <alignment vertical="top"/>
    </xf>
    <xf numFmtId="0" fontId="50" fillId="0" borderId="0" applyNumberFormat="0" applyFill="0" applyBorder="0" applyAlignment="0" applyProtection="0">
      <alignment vertical="top"/>
    </xf>
    <xf numFmtId="0" fontId="50" fillId="0" borderId="0" applyNumberFormat="0" applyFill="0" applyBorder="0" applyProtection="0">
      <alignment vertical="top"/>
    </xf>
    <xf numFmtId="0" fontId="16" fillId="0" borderId="33" applyNumberFormat="0" applyFill="0" applyAlignment="0" applyProtection="0"/>
    <xf numFmtId="0" fontId="16" fillId="0" borderId="34" applyNumberFormat="0" applyFill="0" applyAlignment="0" applyProtection="0"/>
    <xf numFmtId="0" fontId="16" fillId="0" borderId="33" applyNumberFormat="0" applyFill="0" applyAlignment="0" applyProtection="0"/>
    <xf numFmtId="0" fontId="16" fillId="0" borderId="33"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34" applyNumberFormat="0" applyFill="0" applyAlignment="0" applyProtection="0"/>
    <xf numFmtId="0" fontId="51" fillId="0" borderId="35" applyNumberFormat="0" applyFill="0" applyProtection="0">
      <alignment horizontal="center"/>
    </xf>
    <xf numFmtId="0" fontId="51" fillId="0" borderId="35" applyNumberFormat="0" applyFill="0" applyProtection="0">
      <alignment horizontal="center"/>
    </xf>
    <xf numFmtId="0" fontId="51" fillId="0" borderId="35" applyNumberFormat="0" applyFill="0" applyProtection="0">
      <alignment horizontal="center"/>
    </xf>
    <xf numFmtId="0" fontId="51" fillId="0" borderId="35" applyNumberFormat="0" applyFill="0" applyProtection="0">
      <alignment horizontal="center"/>
    </xf>
    <xf numFmtId="0" fontId="51" fillId="0" borderId="35" applyNumberFormat="0" applyFill="0" applyProtection="0">
      <alignment horizontal="center"/>
    </xf>
    <xf numFmtId="0" fontId="51" fillId="0" borderId="35" applyNumberFormat="0" applyFill="0" applyProtection="0">
      <alignment horizontal="center"/>
    </xf>
    <xf numFmtId="0" fontId="4" fillId="0" borderId="36" applyNumberFormat="0" applyFont="0" applyFill="0" applyAlignment="0" applyProtection="0"/>
    <xf numFmtId="0" fontId="51" fillId="0" borderId="0" applyNumberFormat="0" applyFill="0" applyBorder="0" applyProtection="0">
      <alignment horizontal="left"/>
    </xf>
    <xf numFmtId="0" fontId="51" fillId="0" borderId="0" applyNumberFormat="0" applyFill="0" applyBorder="0" applyProtection="0">
      <alignment horizontal="left"/>
    </xf>
    <xf numFmtId="0" fontId="51" fillId="0" borderId="0" applyNumberFormat="0" applyFill="0" applyBorder="0" applyProtection="0">
      <alignment horizontal="left"/>
    </xf>
    <xf numFmtId="0" fontId="51" fillId="0" borderId="0" applyNumberFormat="0" applyFill="0" applyBorder="0" applyProtection="0">
      <alignment horizontal="left"/>
    </xf>
    <xf numFmtId="0" fontId="51" fillId="0" borderId="0" applyNumberFormat="0" applyFill="0" applyBorder="0" applyProtection="0">
      <alignment horizontal="left"/>
    </xf>
    <xf numFmtId="0" fontId="52" fillId="0" borderId="0" applyNumberFormat="0" applyFill="0" applyBorder="0" applyProtection="0">
      <alignment horizontal="centerContinuous"/>
    </xf>
    <xf numFmtId="0" fontId="52" fillId="0" borderId="0" applyNumberFormat="0" applyFill="0" applyProtection="0">
      <alignment horizontal="centerContinuous"/>
    </xf>
    <xf numFmtId="0" fontId="52" fillId="0" borderId="0" applyNumberFormat="0" applyFill="0" applyBorder="0" applyProtection="0">
      <alignment horizontal="centerContinuous"/>
    </xf>
    <xf numFmtId="0" fontId="52" fillId="0" borderId="0" applyNumberFormat="0" applyFill="0" applyBorder="0" applyProtection="0">
      <alignment horizontal="centerContinuous"/>
    </xf>
    <xf numFmtId="0" fontId="52" fillId="0" borderId="0" applyNumberFormat="0" applyFill="0" applyBorder="0" applyProtection="0">
      <alignment horizontal="centerContinuous"/>
    </xf>
    <xf numFmtId="0" fontId="52" fillId="0" borderId="0" applyNumberFormat="0" applyFill="0" applyBorder="0" applyProtection="0">
      <alignment horizontal="centerContinuous"/>
    </xf>
    <xf numFmtId="0" fontId="52" fillId="0" borderId="0" applyNumberFormat="0" applyFill="0" applyProtection="0">
      <alignment horizontal="centerContinuous"/>
    </xf>
    <xf numFmtId="0" fontId="52" fillId="0" borderId="0" applyNumberFormat="0" applyFill="0" applyBorder="0" applyProtection="0">
      <alignment horizontal="centerContinuous"/>
    </xf>
    <xf numFmtId="0" fontId="16"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7"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4" fontId="4" fillId="0" borderId="0" applyFont="0" applyFill="0" applyBorder="0" applyAlignment="0" applyProtection="0"/>
    <xf numFmtId="174" fontId="4" fillId="0" borderId="0" applyFont="0" applyFill="0" applyBorder="0" applyAlignment="0" applyProtection="0"/>
    <xf numFmtId="0" fontId="53" fillId="0" borderId="0"/>
    <xf numFmtId="0" fontId="54" fillId="0" borderId="0"/>
    <xf numFmtId="0" fontId="46" fillId="0" borderId="0"/>
    <xf numFmtId="205" fontId="16" fillId="0" borderId="0">
      <alignment horizontal="right" vertical="top"/>
    </xf>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7"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5" fillId="9"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5" fillId="11"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12"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55" fillId="15"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5" fillId="1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56" fillId="6" borderId="0" applyNumberFormat="0" applyBorder="0" applyAlignment="0" applyProtection="0">
      <alignment vertical="center"/>
    </xf>
    <xf numFmtId="0" fontId="56" fillId="10" borderId="0" applyNumberFormat="0" applyBorder="0" applyAlignment="0" applyProtection="0">
      <alignment vertical="center"/>
    </xf>
    <xf numFmtId="0" fontId="56" fillId="4" borderId="0" applyNumberFormat="0" applyBorder="0" applyAlignment="0" applyProtection="0">
      <alignment vertical="center"/>
    </xf>
    <xf numFmtId="0" fontId="56" fillId="13" borderId="0" applyNumberFormat="0" applyBorder="0" applyAlignment="0" applyProtection="0">
      <alignment vertical="center"/>
    </xf>
    <xf numFmtId="0" fontId="56" fillId="14" borderId="0" applyNumberFormat="0" applyBorder="0" applyAlignment="0" applyProtection="0">
      <alignment vertical="center"/>
    </xf>
    <xf numFmtId="0" fontId="56" fillId="17" borderId="0" applyNumberFormat="0" applyBorder="0" applyAlignment="0" applyProtection="0">
      <alignment vertical="center"/>
    </xf>
    <xf numFmtId="0" fontId="57" fillId="6" borderId="0" applyNumberFormat="0" applyBorder="0" applyAlignment="0" applyProtection="0">
      <alignment vertical="center"/>
    </xf>
    <xf numFmtId="0" fontId="57" fillId="10" borderId="0" applyNumberFormat="0" applyBorder="0" applyAlignment="0" applyProtection="0">
      <alignment vertical="center"/>
    </xf>
    <xf numFmtId="0" fontId="57" fillId="4" borderId="0" applyNumberFormat="0" applyBorder="0" applyAlignment="0" applyProtection="0">
      <alignment vertical="center"/>
    </xf>
    <xf numFmtId="0" fontId="57" fillId="13" borderId="0" applyNumberFormat="0" applyBorder="0" applyAlignment="0" applyProtection="0">
      <alignment vertical="center"/>
    </xf>
    <xf numFmtId="0" fontId="57" fillId="14" borderId="0" applyNumberFormat="0" applyBorder="0" applyAlignment="0" applyProtection="0">
      <alignment vertical="center"/>
    </xf>
    <xf numFmtId="0" fontId="57" fillId="17" borderId="0" applyNumberFormat="0" applyBorder="0" applyAlignment="0" applyProtection="0">
      <alignment vertical="center"/>
    </xf>
    <xf numFmtId="0" fontId="4" fillId="0" borderId="0"/>
    <xf numFmtId="0" fontId="53" fillId="0" borderId="0" applyFont="0" applyFill="0" applyBorder="0" applyAlignment="0" applyProtection="0"/>
    <xf numFmtId="0" fontId="53" fillId="0" borderId="0" applyFon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18"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5" fillId="21"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55" fillId="2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5" fillId="25"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2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55" fillId="2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56" fillId="19" borderId="0" applyNumberFormat="0" applyBorder="0" applyAlignment="0" applyProtection="0">
      <alignment vertical="center"/>
    </xf>
    <xf numFmtId="0" fontId="56" fillId="22" borderId="0" applyNumberFormat="0" applyBorder="0" applyAlignment="0" applyProtection="0">
      <alignment vertical="center"/>
    </xf>
    <xf numFmtId="0" fontId="56" fillId="24" borderId="0" applyNumberFormat="0" applyBorder="0" applyAlignment="0" applyProtection="0">
      <alignment vertical="center"/>
    </xf>
    <xf numFmtId="0" fontId="56" fillId="13" borderId="0" applyNumberFormat="0" applyBorder="0" applyAlignment="0" applyProtection="0">
      <alignment vertical="center"/>
    </xf>
    <xf numFmtId="0" fontId="56" fillId="19" borderId="0" applyNumberFormat="0" applyBorder="0" applyAlignment="0" applyProtection="0">
      <alignment vertical="center"/>
    </xf>
    <xf numFmtId="0" fontId="56" fillId="28" borderId="0" applyNumberFormat="0" applyBorder="0" applyAlignment="0" applyProtection="0">
      <alignment vertical="center"/>
    </xf>
    <xf numFmtId="0" fontId="57" fillId="19" borderId="0" applyNumberFormat="0" applyBorder="0" applyAlignment="0" applyProtection="0">
      <alignment vertical="center"/>
    </xf>
    <xf numFmtId="0" fontId="57" fillId="22" borderId="0" applyNumberFormat="0" applyBorder="0" applyAlignment="0" applyProtection="0">
      <alignment vertical="center"/>
    </xf>
    <xf numFmtId="0" fontId="57" fillId="24" borderId="0" applyNumberFormat="0" applyBorder="0" applyAlignment="0" applyProtection="0">
      <alignment vertical="center"/>
    </xf>
    <xf numFmtId="0" fontId="57" fillId="13" borderId="0" applyNumberFormat="0" applyBorder="0" applyAlignment="0" applyProtection="0">
      <alignment vertical="center"/>
    </xf>
    <xf numFmtId="0" fontId="57" fillId="19" borderId="0" applyNumberFormat="0" applyBorder="0" applyAlignment="0" applyProtection="0">
      <alignment vertical="center"/>
    </xf>
    <xf numFmtId="0" fontId="57" fillId="28" borderId="0" applyNumberFormat="0" applyBorder="0" applyAlignment="0" applyProtection="0">
      <alignment vertical="center"/>
    </xf>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9" fillId="2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9" fillId="3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9" fillId="32"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9" fillId="33"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9" fillId="35"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9" fillId="3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60" fillId="30" borderId="0" applyNumberFormat="0" applyBorder="0" applyAlignment="0" applyProtection="0">
      <alignment vertical="center"/>
    </xf>
    <xf numFmtId="0" fontId="60" fillId="22" borderId="0" applyNumberFormat="0" applyBorder="0" applyAlignment="0" applyProtection="0">
      <alignment vertical="center"/>
    </xf>
    <xf numFmtId="0" fontId="60" fillId="24" borderId="0" applyNumberFormat="0" applyBorder="0" applyAlignment="0" applyProtection="0">
      <alignment vertical="center"/>
    </xf>
    <xf numFmtId="0" fontId="60" fillId="34" borderId="0" applyNumberFormat="0" applyBorder="0" applyAlignment="0" applyProtection="0">
      <alignment vertical="center"/>
    </xf>
    <xf numFmtId="0" fontId="60" fillId="36" borderId="0" applyNumberFormat="0" applyBorder="0" applyAlignment="0" applyProtection="0">
      <alignment vertical="center"/>
    </xf>
    <xf numFmtId="0" fontId="60" fillId="38" borderId="0" applyNumberFormat="0" applyBorder="0" applyAlignment="0" applyProtection="0">
      <alignment vertical="center"/>
    </xf>
    <xf numFmtId="0" fontId="61" fillId="30" borderId="0" applyNumberFormat="0" applyBorder="0" applyAlignment="0" applyProtection="0">
      <alignment vertical="center"/>
    </xf>
    <xf numFmtId="0" fontId="61" fillId="22" borderId="0" applyNumberFormat="0" applyBorder="0" applyAlignment="0" applyProtection="0">
      <alignment vertical="center"/>
    </xf>
    <xf numFmtId="0" fontId="61" fillId="24" borderId="0" applyNumberFormat="0" applyBorder="0" applyAlignment="0" applyProtection="0">
      <alignment vertical="center"/>
    </xf>
    <xf numFmtId="0" fontId="61" fillId="34" borderId="0" applyNumberFormat="0" applyBorder="0" applyAlignment="0" applyProtection="0">
      <alignment vertical="center"/>
    </xf>
    <xf numFmtId="0" fontId="61" fillId="36" borderId="0" applyNumberFormat="0" applyBorder="0" applyAlignment="0" applyProtection="0">
      <alignment vertical="center"/>
    </xf>
    <xf numFmtId="0" fontId="61" fillId="38" borderId="0" applyNumberFormat="0" applyBorder="0" applyAlignment="0" applyProtection="0">
      <alignment vertical="center"/>
    </xf>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9" fillId="40"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9" fillId="43"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9" fillId="48"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9" fillId="49"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9" fillId="50"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41" fontId="4" fillId="0" borderId="0"/>
    <xf numFmtId="206" fontId="8" fillId="19" borderId="37">
      <alignment horizontal="center"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0" fontId="4" fillId="0" borderId="0">
      <alignment horizontal="center" wrapText="1"/>
      <protection locked="0"/>
    </xf>
    <xf numFmtId="0" fontId="36" fillId="0" borderId="0">
      <alignment horizontal="center" wrapText="1"/>
      <protection locked="0"/>
    </xf>
    <xf numFmtId="0" fontId="4" fillId="0" borderId="0" applyNumberFormat="0" applyFill="0" applyBorder="0" applyAlignment="0" applyProtection="0"/>
    <xf numFmtId="0" fontId="10" fillId="0" borderId="0" applyNumberFormat="0" applyFill="0" applyBorder="0" applyAlignment="0" applyProtection="0"/>
    <xf numFmtId="1" fontId="4" fillId="52" borderId="0"/>
    <xf numFmtId="0" fontId="63" fillId="0" borderId="39"/>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31" fillId="53"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3" fontId="66" fillId="54" borderId="0">
      <alignment horizontal="center" vertical="justify"/>
    </xf>
    <xf numFmtId="3" fontId="67" fillId="55" borderId="40">
      <alignment horizontal="center"/>
    </xf>
    <xf numFmtId="0" fontId="9" fillId="0" borderId="2" applyNumberFormat="0" applyFont="0" applyAlignment="0" applyProtection="0"/>
    <xf numFmtId="0" fontId="68" fillId="52" borderId="41">
      <alignment horizontal="center" vertical="center"/>
    </xf>
    <xf numFmtId="0" fontId="68" fillId="52" borderId="42">
      <alignment horizontal="center"/>
    </xf>
    <xf numFmtId="167" fontId="69" fillId="20" borderId="43">
      <alignment horizontal="center" vertical="center" wrapText="1"/>
    </xf>
    <xf numFmtId="0" fontId="70" fillId="0" borderId="0">
      <alignment vertical="center"/>
    </xf>
    <xf numFmtId="167" fontId="71" fillId="20" borderId="43">
      <alignment horizontal="left" vertical="center" wrapText="1"/>
    </xf>
    <xf numFmtId="0" fontId="72" fillId="20" borderId="0">
      <alignment horizontal="center"/>
    </xf>
    <xf numFmtId="167" fontId="73" fillId="20" borderId="43">
      <alignment horizontal="center" vertical="center" wrapTex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208" fontId="75" fillId="0" borderId="4" applyAlignment="0" applyProtection="0"/>
    <xf numFmtId="0" fontId="36" fillId="0" borderId="2" applyNumberFormat="0" applyFont="0" applyFill="0" applyAlignment="0" applyProtection="0"/>
    <xf numFmtId="0" fontId="36" fillId="0" borderId="44" applyNumberFormat="0" applyFont="0" applyFill="0" applyAlignment="0" applyProtection="0"/>
    <xf numFmtId="0" fontId="76" fillId="0" borderId="0" applyFont="0" applyFill="0" applyBorder="0" applyAlignment="0" applyProtection="0"/>
    <xf numFmtId="209" fontId="77" fillId="0" borderId="0" applyFill="0" applyBorder="0" applyAlignment="0"/>
    <xf numFmtId="209" fontId="77" fillId="0" borderId="0" applyFill="0" applyBorder="0" applyAlignment="0"/>
    <xf numFmtId="210" fontId="4" fillId="0" borderId="0" applyFill="0" applyBorder="0" applyAlignment="0"/>
    <xf numFmtId="211" fontId="10" fillId="0" borderId="0" applyFill="0" applyBorder="0" applyAlignment="0"/>
    <xf numFmtId="0" fontId="4" fillId="0" borderId="0" applyFill="0" applyBorder="0" applyAlignment="0"/>
    <xf numFmtId="212" fontId="10" fillId="0" borderId="0" applyFill="0" applyBorder="0" applyAlignment="0"/>
    <xf numFmtId="213" fontId="4" fillId="0" borderId="0" applyFill="0" applyBorder="0" applyAlignment="0"/>
    <xf numFmtId="214" fontId="10" fillId="0" borderId="0" applyFill="0" applyBorder="0" applyAlignment="0"/>
    <xf numFmtId="201" fontId="78" fillId="0" borderId="0" applyFill="0" applyBorder="0" applyAlignment="0"/>
    <xf numFmtId="215"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79" fillId="0" borderId="45" applyNumberFormat="0" applyAlignment="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35" fillId="56" borderId="7"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29" fillId="0" borderId="0" applyNumberFormat="0" applyFill="0" applyBorder="0" applyAlignment="0"/>
    <xf numFmtId="37" fontId="82" fillId="57" borderId="0" applyNumberFormat="0" applyFont="0" applyBorder="0" applyAlignment="0">
      <alignment horizontal="center"/>
    </xf>
    <xf numFmtId="0" fontId="4" fillId="0" borderId="0"/>
    <xf numFmtId="219" fontId="3" fillId="0" borderId="0" applyFill="0" applyBorder="0" applyProtection="0">
      <alignment horizontal="center" vertical="center"/>
    </xf>
    <xf numFmtId="219" fontId="3" fillId="0" borderId="0" applyFill="0" applyBorder="0" applyProtection="0">
      <alignment horizontal="center" vertical="center"/>
    </xf>
    <xf numFmtId="0" fontId="4" fillId="0" borderId="0">
      <alignment horizontal="centerContinuous"/>
    </xf>
    <xf numFmtId="0" fontId="83" fillId="0" borderId="0" applyNumberFormat="0" applyFill="0" applyBorder="0" applyAlignment="0"/>
    <xf numFmtId="0" fontId="77" fillId="0" borderId="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5" fillId="58" borderId="9"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6" fillId="0" borderId="0" applyNumberFormat="0" applyFill="0" applyBorder="0" applyAlignment="0" applyProtection="0">
      <alignment vertical="top"/>
    </xf>
    <xf numFmtId="41" fontId="68" fillId="59" borderId="0">
      <alignment horizontal="left"/>
    </xf>
    <xf numFmtId="41" fontId="87" fillId="59" borderId="0">
      <alignment horizontal="right"/>
    </xf>
    <xf numFmtId="41" fontId="88" fillId="2" borderId="0">
      <alignment horizontal="center"/>
    </xf>
    <xf numFmtId="0" fontId="89" fillId="60" borderId="0"/>
    <xf numFmtId="41" fontId="87" fillId="59" borderId="0">
      <alignment horizontal="right"/>
    </xf>
    <xf numFmtId="41" fontId="90" fillId="2" borderId="0">
      <alignment horizontal="left"/>
    </xf>
    <xf numFmtId="220" fontId="10" fillId="0" borderId="0"/>
    <xf numFmtId="220" fontId="10" fillId="0" borderId="0"/>
    <xf numFmtId="220" fontId="10" fillId="0" borderId="0"/>
    <xf numFmtId="220" fontId="10" fillId="0" borderId="0"/>
    <xf numFmtId="220" fontId="10" fillId="0" borderId="0"/>
    <xf numFmtId="220" fontId="10" fillId="0" borderId="0"/>
    <xf numFmtId="220" fontId="10" fillId="0" borderId="0"/>
    <xf numFmtId="220" fontId="10" fillId="0" borderId="0"/>
    <xf numFmtId="216" fontId="4" fillId="0" borderId="0" applyFont="0" applyFill="0" applyBorder="0" applyAlignment="0" applyProtection="0"/>
    <xf numFmtId="217" fontId="10" fillId="0" borderId="0" applyFont="0" applyFill="0" applyBorder="0" applyAlignment="0" applyProtection="0"/>
    <xf numFmtId="38" fontId="91" fillId="0" borderId="0">
      <alignment horizontal="center"/>
      <protection locked="0"/>
    </xf>
    <xf numFmtId="0" fontId="4" fillId="0" borderId="0" applyFont="0" applyFill="0" applyBorder="0" applyAlignment="0" applyProtection="0">
      <alignment horizontal="right"/>
    </xf>
    <xf numFmtId="0"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12" fillId="0" borderId="0" applyFont="0" applyFill="0" applyBorder="0" applyAlignment="0" applyProtection="0"/>
    <xf numFmtId="221"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2" fontId="8" fillId="0" borderId="0"/>
    <xf numFmtId="3" fontId="4" fillId="0" borderId="0" applyFont="0" applyFill="0" applyBorder="0" applyAlignment="0" applyProtection="0"/>
    <xf numFmtId="3" fontId="10" fillId="0" borderId="0" applyFont="0" applyFill="0" applyBorder="0" applyAlignment="0" applyProtection="0"/>
    <xf numFmtId="0" fontId="4" fillId="0" borderId="0" applyNumberFormat="0" applyAlignment="0">
      <alignment horizontal="left"/>
    </xf>
    <xf numFmtId="0" fontId="92" fillId="0" borderId="0" applyNumberFormat="0" applyAlignment="0">
      <alignment horizontal="left"/>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0" fontId="4" fillId="20" borderId="0">
      <protection hidden="1"/>
    </xf>
    <xf numFmtId="0" fontId="78" fillId="0" borderId="0" applyNumberFormat="0" applyAlignment="0"/>
    <xf numFmtId="6" fontId="54" fillId="0" borderId="0" applyFont="0" applyFill="0" applyBorder="0" applyAlignment="0" applyProtection="0"/>
    <xf numFmtId="210" fontId="4" fillId="0" borderId="0" applyFont="0" applyFill="0" applyBorder="0" applyAlignment="0" applyProtection="0"/>
    <xf numFmtId="211" fontId="10" fillId="0" borderId="0" applyFont="0" applyFill="0" applyBorder="0" applyAlignment="0" applyProtection="0"/>
    <xf numFmtId="199" fontId="37" fillId="0" borderId="0"/>
    <xf numFmtId="8" fontId="94" fillId="0" borderId="48">
      <protection locked="0"/>
    </xf>
    <xf numFmtId="0" fontId="4" fillId="0" borderId="0" applyFont="0" applyFill="0" applyBorder="0" applyAlignment="0" applyProtection="0">
      <alignment horizontal="right"/>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2"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4" fontId="4"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224" fontId="95" fillId="0" borderId="0" applyFont="0" applyFill="0" applyBorder="0" applyAlignment="0" applyProtection="0"/>
    <xf numFmtId="225" fontId="10" fillId="0" borderId="0" applyFont="0" applyFill="0" applyBorder="0" applyAlignment="0" applyProtection="0"/>
    <xf numFmtId="226" fontId="8" fillId="0" borderId="0"/>
    <xf numFmtId="49" fontId="96" fillId="61" borderId="0">
      <alignment vertical="center"/>
    </xf>
    <xf numFmtId="227" fontId="4" fillId="0" borderId="0" applyNumberFormat="0" applyFont="0" applyBorder="0" applyAlignment="0">
      <alignment horizontal="centerContinuous"/>
    </xf>
    <xf numFmtId="3" fontId="97" fillId="0" borderId="0"/>
    <xf numFmtId="0" fontId="8" fillId="0" borderId="0" applyNumberFormat="0" applyFont="0" applyBorder="0" applyAlignment="0"/>
    <xf numFmtId="17" fontId="98" fillId="0" borderId="49">
      <alignment horizontal="center" vertical="center"/>
    </xf>
    <xf numFmtId="0" fontId="4" fillId="0" borderId="0" applyFont="0" applyFill="0" applyBorder="0" applyAlignment="0" applyProtection="0"/>
    <xf numFmtId="228" fontId="4" fillId="0" borderId="50" applyFont="0" applyFill="0" applyAlignment="0" applyProtection="0"/>
    <xf numFmtId="229" fontId="4" fillId="0" borderId="0" applyFont="0" applyFill="0" applyAlignment="0" applyProtection="0"/>
    <xf numFmtId="230" fontId="4" fillId="0" borderId="36"/>
    <xf numFmtId="0" fontId="36" fillId="0" borderId="0" applyFont="0" applyFill="0" applyBorder="0" applyProtection="0">
      <alignment horizontal="right"/>
    </xf>
    <xf numFmtId="0" fontId="4" fillId="0" borderId="0" applyFont="0" applyFill="0" applyBorder="0" applyAlignment="0" applyProtection="0"/>
    <xf numFmtId="16" fontId="77" fillId="0" borderId="0" applyFont="0" applyFill="0" applyBorder="0" applyAlignment="0" applyProtection="0"/>
    <xf numFmtId="15" fontId="77" fillId="0" borderId="0" applyFont="0" applyFill="0" applyBorder="0" applyAlignment="0" applyProtection="0"/>
    <xf numFmtId="17" fontId="77" fillId="0" borderId="0" applyFont="0" applyFill="0" applyBorder="0" applyAlignment="0" applyProtection="0"/>
    <xf numFmtId="14" fontId="77" fillId="0" borderId="0" applyFill="0" applyBorder="0" applyAlignment="0"/>
    <xf numFmtId="0" fontId="36" fillId="0" borderId="0" applyFont="0" applyFill="0" applyBorder="0" applyProtection="0">
      <alignment horizontal="right"/>
    </xf>
    <xf numFmtId="231" fontId="99" fillId="0" borderId="0" applyFill="0" applyBorder="0">
      <alignment horizontal="right"/>
    </xf>
    <xf numFmtId="0" fontId="74" fillId="0" borderId="51">
      <alignment horizontal="center" vertical="center"/>
    </xf>
    <xf numFmtId="0" fontId="74" fillId="0" borderId="51" applyBorder="0">
      <alignment horizontal="center" vertical="center"/>
    </xf>
    <xf numFmtId="0" fontId="100" fillId="0" borderId="0" applyNumberFormat="0" applyFont="0" applyFill="0" applyBorder="0" applyAlignment="0" applyProtection="0">
      <alignment horizontal="left"/>
    </xf>
    <xf numFmtId="0" fontId="4" fillId="0" borderId="0"/>
    <xf numFmtId="0" fontId="93" fillId="0" borderId="0">
      <protection hidden="1"/>
    </xf>
    <xf numFmtId="0" fontId="4" fillId="0" borderId="0">
      <protection hidden="1"/>
    </xf>
    <xf numFmtId="0" fontId="101" fillId="0" borderId="0">
      <protection hidden="1"/>
    </xf>
    <xf numFmtId="232" fontId="37" fillId="62" borderId="0">
      <alignment horizontal="right"/>
    </xf>
    <xf numFmtId="0" fontId="1" fillId="0" borderId="0"/>
    <xf numFmtId="233" fontId="4" fillId="0" borderId="52">
      <alignment vertical="center"/>
    </xf>
    <xf numFmtId="15" fontId="102" fillId="63" borderId="0" applyNumberFormat="0" applyFont="0" applyBorder="0" applyAlignment="0" applyProtection="0"/>
    <xf numFmtId="3" fontId="93" fillId="0" borderId="53"/>
    <xf numFmtId="234" fontId="4" fillId="0" borderId="0" applyFont="0" applyFill="0" applyAlignment="0" applyProtection="0"/>
    <xf numFmtId="235" fontId="4" fillId="0" borderId="0" applyFont="0" applyFill="0" applyAlignment="0" applyProtection="0"/>
    <xf numFmtId="165" fontId="37" fillId="2" borderId="0"/>
    <xf numFmtId="165" fontId="99" fillId="2" borderId="0"/>
    <xf numFmtId="0" fontId="103" fillId="0" borderId="0"/>
    <xf numFmtId="236" fontId="4" fillId="0" borderId="0"/>
    <xf numFmtId="0" fontId="104" fillId="0" borderId="0"/>
    <xf numFmtId="237" fontId="4" fillId="0" borderId="0"/>
    <xf numFmtId="237" fontId="4" fillId="0" borderId="40"/>
    <xf numFmtId="237" fontId="4" fillId="0" borderId="54"/>
    <xf numFmtId="237" fontId="4" fillId="0" borderId="2"/>
    <xf numFmtId="237" fontId="4" fillId="0" borderId="4"/>
    <xf numFmtId="0" fontId="4" fillId="0" borderId="55"/>
    <xf numFmtId="0" fontId="4" fillId="0" borderId="56" applyNumberFormat="0" applyFont="0" applyFill="0" applyAlignment="0" applyProtection="0"/>
    <xf numFmtId="205" fontId="105" fillId="62" borderId="0">
      <alignment horizontal="right"/>
    </xf>
    <xf numFmtId="197" fontId="106" fillId="0" borderId="0" applyFill="0" applyBorder="0" applyAlignment="0" applyProtection="0"/>
    <xf numFmtId="0" fontId="4" fillId="24" borderId="40" applyNumberFormat="0" applyFont="0" applyAlignment="0" applyProtection="0">
      <alignment horizontal="center"/>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4" fillId="0" borderId="0" applyNumberFormat="0" applyAlignment="0">
      <alignment horizontal="left"/>
    </xf>
    <xf numFmtId="0" fontId="108" fillId="0" borderId="0" applyNumberFormat="0" applyAlignment="0">
      <alignment horizontal="left"/>
    </xf>
    <xf numFmtId="0" fontId="109" fillId="0" borderId="0"/>
    <xf numFmtId="166" fontId="109" fillId="0" borderId="0"/>
    <xf numFmtId="181" fontId="109" fillId="0" borderId="0"/>
    <xf numFmtId="239" fontId="4" fillId="0" borderId="0" applyFont="0" applyFill="0" applyBorder="0" applyAlignment="0" applyProtection="0"/>
    <xf numFmtId="239" fontId="4" fillId="0" borderId="0" applyFont="0" applyFill="0" applyBorder="0" applyAlignment="0" applyProtection="0"/>
    <xf numFmtId="240" fontId="110" fillId="0" borderId="0" applyFont="0" applyFill="0" applyBorder="0" applyAlignment="0" applyProtection="0"/>
    <xf numFmtId="240" fontId="110" fillId="0" borderId="0" applyFont="0" applyFill="0" applyBorder="0" applyAlignment="0" applyProtection="0"/>
    <xf numFmtId="240" fontId="110"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4" fillId="0" borderId="0" applyFont="0" applyFill="0" applyAlignment="0" applyProtection="0"/>
    <xf numFmtId="0" fontId="4" fillId="0" borderId="0" applyFont="0" applyFill="0" applyAlignment="0" applyProtection="0"/>
    <xf numFmtId="0" fontId="74" fillId="0" borderId="1"/>
    <xf numFmtId="3" fontId="112" fillId="0" borderId="0" applyNumberFormat="0" applyFont="0" applyFill="0" applyBorder="0" applyAlignment="0" applyProtection="0">
      <alignment horizontal="left"/>
    </xf>
    <xf numFmtId="2" fontId="4" fillId="0" borderId="0" applyFont="0" applyFill="0" applyBorder="0" applyAlignment="0" applyProtection="0"/>
    <xf numFmtId="242" fontId="4" fillId="0" borderId="0" applyFont="0" applyFill="0" applyAlignment="0"/>
    <xf numFmtId="0" fontId="37" fillId="0" borderId="40" applyFont="0" applyFill="0" applyBorder="0" applyAlignment="0" applyProtection="0"/>
    <xf numFmtId="0" fontId="37" fillId="0" borderId="40" applyFont="0" applyFill="0" applyBorder="0" applyAlignment="0" applyProtection="0"/>
    <xf numFmtId="0" fontId="113" fillId="0" borderId="0" applyFill="0" applyBorder="0" applyProtection="0">
      <alignment horizontal="left"/>
    </xf>
    <xf numFmtId="0" fontId="96" fillId="64" borderId="0">
      <alignment horizontal="right" vertical="center"/>
    </xf>
    <xf numFmtId="0" fontId="114" fillId="0" borderId="0"/>
    <xf numFmtId="0" fontId="37" fillId="0" borderId="0">
      <protection hidden="1"/>
    </xf>
    <xf numFmtId="0" fontId="115" fillId="0" borderId="0" applyNumberFormat="0" applyFill="0" applyBorder="0" applyAlignment="0" applyProtection="0"/>
    <xf numFmtId="243" fontId="4" fillId="0" borderId="0" applyAlignment="0">
      <alignment horizontal="right"/>
    </xf>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30" fillId="65"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38" fontId="37" fillId="20" borderId="0" applyNumberFormat="0" applyBorder="0" applyAlignment="0" applyProtection="0"/>
    <xf numFmtId="0" fontId="117" fillId="0" borderId="0">
      <protection hidden="1"/>
    </xf>
    <xf numFmtId="0" fontId="4" fillId="0" borderId="0" applyFont="0" applyFill="0" applyBorder="0" applyAlignment="0" applyProtection="0">
      <alignment horizontal="right"/>
    </xf>
    <xf numFmtId="0" fontId="4" fillId="0" borderId="0" applyNumberFormat="0" applyFill="0" applyBorder="0" applyAlignment="0" applyProtection="0"/>
    <xf numFmtId="0" fontId="118" fillId="0" borderId="0" applyProtection="0">
      <alignment horizontal="right"/>
    </xf>
    <xf numFmtId="207" fontId="119" fillId="0" borderId="57">
      <alignment vertical="center"/>
    </xf>
    <xf numFmtId="207" fontId="120" fillId="54" borderId="58">
      <alignment horizontal="left" vertical="center" indent="1"/>
    </xf>
    <xf numFmtId="0" fontId="9" fillId="0" borderId="59" applyNumberFormat="0" applyAlignment="0" applyProtection="0">
      <alignment horizontal="left" vertical="center"/>
    </xf>
    <xf numFmtId="0" fontId="9" fillId="0" borderId="6">
      <alignment horizontal="left" vertical="center"/>
    </xf>
    <xf numFmtId="0" fontId="119" fillId="0" borderId="60" applyNumberFormat="0" applyFill="0">
      <alignment horizontal="center" vertical="top"/>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2" fillId="5" borderId="0" applyNumberFormat="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5" fillId="0" borderId="63"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5" fillId="0" borderId="63"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5" fillId="0" borderId="63"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5" fillId="0" borderId="63"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8" fillId="0" borderId="65"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8" fillId="0" borderId="65"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8" fillId="0" borderId="65"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8" fillId="0" borderId="65"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1" fillId="0" borderId="67"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1" fillId="0" borderId="67"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1" fillId="0" borderId="67"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31" fillId="0" borderId="67"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33" fillId="0" borderId="0" applyNumberFormat="0">
      <protection locked="0"/>
    </xf>
    <xf numFmtId="181" fontId="37" fillId="0" borderId="1">
      <alignment horizontal="right" vertical="center"/>
    </xf>
    <xf numFmtId="244" fontId="8" fillId="0" borderId="0">
      <protection locked="0"/>
    </xf>
    <xf numFmtId="245" fontId="9" fillId="0" borderId="0"/>
    <xf numFmtId="244" fontId="8" fillId="0" borderId="0">
      <protection locked="0"/>
    </xf>
    <xf numFmtId="0" fontId="8" fillId="0" borderId="0"/>
    <xf numFmtId="0" fontId="4" fillId="0" borderId="2">
      <alignment horizontal="center"/>
    </xf>
    <xf numFmtId="0" fontId="134" fillId="0" borderId="2">
      <alignment horizontal="center"/>
    </xf>
    <xf numFmtId="0" fontId="4" fillId="0" borderId="0">
      <alignment horizontal="center"/>
    </xf>
    <xf numFmtId="0" fontId="134" fillId="0" borderId="0">
      <alignment horizontal="center"/>
    </xf>
    <xf numFmtId="0" fontId="135" fillId="0" borderId="0">
      <alignment vertical="center"/>
    </xf>
    <xf numFmtId="0" fontId="135" fillId="0" borderId="0"/>
    <xf numFmtId="0" fontId="93" fillId="0" borderId="0"/>
    <xf numFmtId="3" fontId="136" fillId="0" borderId="0">
      <protection hidden="1"/>
    </xf>
    <xf numFmtId="0" fontId="137" fillId="0" borderId="68" applyNumberFormat="0" applyFill="0" applyAlignment="0" applyProtection="0"/>
    <xf numFmtId="0" fontId="74" fillId="5" borderId="69">
      <alignment horizontal="left" vertical="center" wrapText="1"/>
    </xf>
    <xf numFmtId="0" fontId="24" fillId="0" borderId="70" applyNumberFormat="0" applyAlignment="0"/>
    <xf numFmtId="0" fontId="138" fillId="0" borderId="0"/>
    <xf numFmtId="9" fontId="139" fillId="0" borderId="39"/>
    <xf numFmtId="0" fontId="139" fillId="0" borderId="39"/>
    <xf numFmtId="10" fontId="139" fillId="0" borderId="39"/>
    <xf numFmtId="0" fontId="139" fillId="0" borderId="39"/>
    <xf numFmtId="4" fontId="139" fillId="0" borderId="39"/>
    <xf numFmtId="10" fontId="37" fillId="8" borderId="40" applyNumberFormat="0" applyBorder="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33" fillId="17" borderId="7"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246" fontId="37" fillId="66" borderId="0"/>
    <xf numFmtId="14" fontId="141" fillId="0" borderId="0">
      <alignment horizontal="center"/>
      <protection locked="0"/>
    </xf>
    <xf numFmtId="8" fontId="37" fillId="0" borderId="0"/>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4" fillId="5" borderId="0"/>
    <xf numFmtId="247" fontId="37" fillId="0" borderId="0"/>
    <xf numFmtId="248" fontId="37" fillId="0"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xf numFmtId="247" fontId="142" fillId="8" borderId="0" applyNumberFormat="0" applyBorder="0" applyAlignment="0">
      <protection locked="0"/>
    </xf>
    <xf numFmtId="249" fontId="43" fillId="8" borderId="71">
      <alignment horizontal="center"/>
      <protection locked="0"/>
    </xf>
    <xf numFmtId="37" fontId="43" fillId="8" borderId="71">
      <alignment horizontal="right"/>
      <protection locked="0"/>
    </xf>
    <xf numFmtId="9" fontId="143" fillId="8" borderId="71">
      <alignment horizontal="right"/>
      <protection locked="0"/>
    </xf>
    <xf numFmtId="37" fontId="62" fillId="0" borderId="71">
      <alignment horizontal="right"/>
    </xf>
    <xf numFmtId="166" fontId="37" fillId="0" borderId="71">
      <alignment horizontal="right"/>
    </xf>
    <xf numFmtId="0" fontId="144" fillId="0" borderId="0"/>
    <xf numFmtId="250" fontId="4" fillId="0" borderId="0">
      <alignment horizontal="right"/>
    </xf>
    <xf numFmtId="1" fontId="145" fillId="1" borderId="54">
      <protection locked="0"/>
    </xf>
    <xf numFmtId="247" fontId="146" fillId="0" borderId="0" applyNumberFormat="0" applyFill="0" applyBorder="0" applyAlignment="0" applyProtection="0"/>
    <xf numFmtId="0" fontId="147" fillId="0" borderId="0" applyNumberFormat="0" applyFill="0" applyBorder="0" applyAlignment="0" applyProtection="0">
      <alignment vertical="top"/>
      <protection locked="0"/>
    </xf>
    <xf numFmtId="41" fontId="68" fillId="59" borderId="0">
      <alignment horizontal="left"/>
    </xf>
    <xf numFmtId="41" fontId="148" fillId="2" borderId="0">
      <alignment horizontal="left"/>
    </xf>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37" fontId="149" fillId="0" borderId="0" applyNumberFormat="0" applyFill="0" applyBorder="0" applyAlignment="0" applyProtection="0">
      <alignment horizontal="right"/>
    </xf>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246" fontId="37" fillId="59" borderId="0"/>
    <xf numFmtId="0" fontId="96" fillId="54" borderId="0">
      <alignment horizontal="right" vertical="center"/>
    </xf>
    <xf numFmtId="251" fontId="4" fillId="0" borderId="0" applyAlignment="0">
      <alignment horizontal="right"/>
    </xf>
    <xf numFmtId="252" fontId="4" fillId="0" borderId="0" applyFont="0" applyFill="0" applyBorder="0" applyAlignment="0" applyProtection="0"/>
    <xf numFmtId="253" fontId="4" fillId="0" borderId="0" applyFont="0" applyFill="0" applyBorder="0" applyAlignment="0" applyProtection="0"/>
    <xf numFmtId="197" fontId="37" fillId="0" borderId="0" applyFont="0" applyFill="0" applyBorder="0" applyAlignment="0" applyProtection="0"/>
    <xf numFmtId="254" fontId="37" fillId="0" borderId="0" applyFont="0" applyFill="0" applyBorder="0" applyAlignment="0" applyProtection="0"/>
    <xf numFmtId="17" fontId="4" fillId="0" borderId="0" applyFont="0" applyFill="0" applyBorder="0" applyAlignment="0" applyProtection="0"/>
    <xf numFmtId="255" fontId="4" fillId="0" borderId="0" applyFont="0" applyFill="0" applyBorder="0" applyAlignment="0" applyProtection="0"/>
    <xf numFmtId="256" fontId="4" fillId="0" borderId="0" applyFont="0" applyFill="0" applyBorder="0" applyAlignment="0" applyProtection="0"/>
    <xf numFmtId="257" fontId="37" fillId="0" borderId="0" applyFont="0" applyFill="0" applyBorder="0" applyAlignment="0" applyProtection="0"/>
    <xf numFmtId="247" fontId="37" fillId="0" borderId="0" applyFont="0" applyFill="0" applyBorder="0" applyAlignment="0" applyProtection="0"/>
    <xf numFmtId="0" fontId="4" fillId="0" borderId="0"/>
    <xf numFmtId="0" fontId="54" fillId="0" borderId="73" applyNumberFormat="0">
      <alignment horizontal="left"/>
    </xf>
    <xf numFmtId="0" fontId="152" fillId="0" borderId="0" applyFont="0" applyFill="0" applyBorder="0" applyProtection="0">
      <alignment horizontal="right"/>
    </xf>
    <xf numFmtId="49" fontId="153" fillId="61" borderId="0">
      <alignment horizontal="centerContinuous" vertical="center"/>
    </xf>
    <xf numFmtId="258" fontId="37" fillId="20" borderId="0" applyFont="0" applyBorder="0" applyAlignment="0" applyProtection="0">
      <alignment horizontal="right"/>
      <protection hidden="1"/>
    </xf>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32" fillId="67"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68" fillId="52" borderId="41">
      <alignment horizontal="center" wrapText="1"/>
    </xf>
    <xf numFmtId="0" fontId="29" fillId="0" borderId="0"/>
    <xf numFmtId="0" fontId="156" fillId="41" borderId="0"/>
    <xf numFmtId="0" fontId="68" fillId="68" borderId="0"/>
    <xf numFmtId="0" fontId="68" fillId="68" borderId="0"/>
    <xf numFmtId="0" fontId="157" fillId="0" borderId="0"/>
    <xf numFmtId="37" fontId="158" fillId="0" borderId="0"/>
    <xf numFmtId="259" fontId="4" fillId="0" borderId="0"/>
    <xf numFmtId="0" fontId="159" fillId="20" borderId="0">
      <alignment horizontal="left" indent="1"/>
    </xf>
    <xf numFmtId="0" fontId="44" fillId="0" borderId="0"/>
    <xf numFmtId="260" fontId="29" fillId="0" borderId="0"/>
    <xf numFmtId="14"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8" fontId="37" fillId="0" borderId="40" applyFont="0" applyFill="0" applyBorder="0" applyAlignment="0" applyProtection="0"/>
    <xf numFmtId="261" fontId="4" fillId="0" borderId="0" applyFont="0" applyFill="0" applyAlignment="0"/>
    <xf numFmtId="235" fontId="4" fillId="0" borderId="0" applyFont="0" applyFill="0" applyAlignment="0"/>
    <xf numFmtId="262" fontId="4" fillId="0" borderId="0" applyFont="0" applyFill="0" applyAlignment="0"/>
    <xf numFmtId="0" fontId="12" fillId="0" borderId="0"/>
    <xf numFmtId="0" fontId="12" fillId="0" borderId="0"/>
    <xf numFmtId="0" fontId="4"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4" fillId="0" borderId="0"/>
    <xf numFmtId="4" fontId="62" fillId="2" borderId="34">
      <alignment horizontal="left" vertical="center" indent="2"/>
    </xf>
    <xf numFmtId="0" fontId="4" fillId="0" borderId="0"/>
    <xf numFmtId="0" fontId="4" fillId="0" borderId="0"/>
    <xf numFmtId="4" fontId="62" fillId="2" borderId="34">
      <alignment horizontal="left" vertical="center" indent="2"/>
    </xf>
    <xf numFmtId="0" fontId="4" fillId="0" borderId="0"/>
    <xf numFmtId="0" fontId="4" fillId="0" borderId="0"/>
    <xf numFmtId="4" fontId="62" fillId="2" borderId="34">
      <alignment horizontal="left" vertical="center" indent="2"/>
    </xf>
    <xf numFmtId="0" fontId="4" fillId="0" borderId="0"/>
    <xf numFmtId="4" fontId="62" fillId="2" borderId="34">
      <alignment horizontal="left" vertical="center" indent="2"/>
    </xf>
    <xf numFmtId="0" fontId="4" fillId="0" borderId="0"/>
    <xf numFmtId="4" fontId="62" fillId="2" borderId="34">
      <alignment horizontal="left" vertical="center" indent="2"/>
    </xf>
    <xf numFmtId="0" fontId="4" fillId="0" borderId="0"/>
    <xf numFmtId="4" fontId="62" fillId="2" borderId="34">
      <alignment horizontal="left" vertical="center" indent="2"/>
    </xf>
    <xf numFmtId="0" fontId="4" fillId="0" borderId="0"/>
    <xf numFmtId="0" fontId="4" fillId="0" borderId="0"/>
    <xf numFmtId="0" fontId="4" fillId="0" borderId="0"/>
    <xf numFmtId="0" fontId="12" fillId="0" borderId="0"/>
    <xf numFmtId="0" fontId="4" fillId="0" borderId="0"/>
    <xf numFmtId="0" fontId="4" fillId="0" borderId="0"/>
    <xf numFmtId="4" fontId="62" fillId="2" borderId="34">
      <alignment horizontal="left" vertical="center" indent="2"/>
    </xf>
    <xf numFmtId="0" fontId="4" fillId="0" borderId="0"/>
    <xf numFmtId="0" fontId="4" fillId="0" borderId="0"/>
    <xf numFmtId="219" fontId="77" fillId="0" borderId="0"/>
    <xf numFmtId="0" fontId="4" fillId="0" borderId="0"/>
    <xf numFmtId="0" fontId="4" fillId="0" borderId="0"/>
    <xf numFmtId="0" fontId="4" fillId="0" borderId="0"/>
    <xf numFmtId="0" fontId="4" fillId="0" borderId="0"/>
    <xf numFmtId="0" fontId="4" fillId="0" borderId="0"/>
    <xf numFmtId="4" fontId="62" fillId="2" borderId="34">
      <alignment horizontal="left" vertical="center" indent="2"/>
    </xf>
    <xf numFmtId="0" fontId="12" fillId="0" borderId="0"/>
    <xf numFmtId="0" fontId="12" fillId="0" borderId="0"/>
    <xf numFmtId="4" fontId="62" fillId="2" borderId="34">
      <alignment horizontal="left" vertical="center" indent="2"/>
    </xf>
    <xf numFmtId="0" fontId="12" fillId="0" borderId="0"/>
    <xf numFmtId="0" fontId="12" fillId="0" borderId="0"/>
    <xf numFmtId="4" fontId="62" fillId="2" borderId="34">
      <alignment horizontal="left" vertical="center" indent="2"/>
    </xf>
    <xf numFmtId="0" fontId="4" fillId="0" borderId="0"/>
    <xf numFmtId="0" fontId="4" fillId="0" borderId="0"/>
    <xf numFmtId="4" fontId="62" fillId="2" borderId="34">
      <alignment horizontal="left" vertical="center" indent="2"/>
    </xf>
    <xf numFmtId="0" fontId="12" fillId="0" borderId="0"/>
    <xf numFmtId="0" fontId="12" fillId="0" borderId="0"/>
    <xf numFmtId="4" fontId="62" fillId="2" borderId="34">
      <alignment horizontal="left" vertical="center" indent="2"/>
    </xf>
    <xf numFmtId="0" fontId="4" fillId="0" borderId="0"/>
    <xf numFmtId="0" fontId="4" fillId="0" borderId="0"/>
    <xf numFmtId="4" fontId="62" fillId="2" borderId="34">
      <alignment horizontal="left" vertical="center" indent="2"/>
    </xf>
    <xf numFmtId="0" fontId="4" fillId="0" borderId="0"/>
    <xf numFmtId="219" fontId="77" fillId="0" borderId="0"/>
    <xf numFmtId="0" fontId="4" fillId="0" borderId="0"/>
    <xf numFmtId="0" fontId="4" fillId="0" borderId="0"/>
    <xf numFmtId="0" fontId="4" fillId="0" borderId="0"/>
    <xf numFmtId="4" fontId="62" fillId="2" borderId="34">
      <alignment horizontal="left" vertical="center" indent="2"/>
    </xf>
    <xf numFmtId="0" fontId="4" fillId="0" borderId="0"/>
    <xf numFmtId="0" fontId="12" fillId="0" borderId="0"/>
    <xf numFmtId="0" fontId="4" fillId="0" borderId="0"/>
    <xf numFmtId="0" fontId="4" fillId="0" borderId="0"/>
    <xf numFmtId="0" fontId="4" fillId="0" borderId="0"/>
    <xf numFmtId="0" fontId="55" fillId="0" borderId="0"/>
    <xf numFmtId="219" fontId="4" fillId="0" borderId="0"/>
    <xf numFmtId="0" fontId="4" fillId="0" borderId="0"/>
    <xf numFmtId="0" fontId="4" fillId="0" borderId="0"/>
    <xf numFmtId="0" fontId="4" fillId="0" borderId="0"/>
    <xf numFmtId="0" fontId="4" fillId="0" borderId="0"/>
    <xf numFmtId="219" fontId="4"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12" fillId="0" borderId="0"/>
    <xf numFmtId="0" fontId="12" fillId="0" borderId="0"/>
    <xf numFmtId="0" fontId="12" fillId="0" borderId="0"/>
    <xf numFmtId="0" fontId="160" fillId="0" borderId="0"/>
    <xf numFmtId="0" fontId="12" fillId="0" borderId="0"/>
    <xf numFmtId="0" fontId="37" fillId="0" borderId="0"/>
    <xf numFmtId="0" fontId="12" fillId="0" borderId="0"/>
    <xf numFmtId="0" fontId="12" fillId="0" borderId="0"/>
    <xf numFmtId="0" fontId="12" fillId="0" borderId="0"/>
    <xf numFmtId="0" fontId="37" fillId="0" borderId="0"/>
    <xf numFmtId="0" fontId="12" fillId="0" borderId="0"/>
    <xf numFmtId="0" fontId="12" fillId="0" borderId="0"/>
    <xf numFmtId="0" fontId="37" fillId="0" borderId="0"/>
    <xf numFmtId="0" fontId="37" fillId="0" borderId="0"/>
    <xf numFmtId="0" fontId="12" fillId="0" borderId="0"/>
    <xf numFmtId="0" fontId="4" fillId="0" borderId="0">
      <alignment vertical="center"/>
    </xf>
    <xf numFmtId="0" fontId="4" fillId="0" borderId="0"/>
    <xf numFmtId="0" fontId="12" fillId="0" borderId="0"/>
    <xf numFmtId="0" fontId="12" fillId="0" borderId="0"/>
    <xf numFmtId="0" fontId="4" fillId="0" borderId="0" applyNumberFormat="0" applyFill="0" applyAlignment="0" applyProtection="0"/>
    <xf numFmtId="263" fontId="77" fillId="0" borderId="0" applyFont="0" applyFill="0" applyBorder="0" applyAlignment="0" applyProtection="0"/>
    <xf numFmtId="264" fontId="77" fillId="0" borderId="0" applyFont="0" applyFill="0" applyBorder="0" applyAlignment="0" applyProtection="0"/>
    <xf numFmtId="265" fontId="4" fillId="0" borderId="0" applyFont="0" applyFill="0" applyAlignment="0" applyProtection="0"/>
    <xf numFmtId="266" fontId="77" fillId="0" borderId="0" applyFont="0" applyFill="0" applyBorder="0" applyAlignment="0" applyProtection="0"/>
    <xf numFmtId="267" fontId="77" fillId="0" borderId="0" applyFont="0" applyFill="0" applyBorder="0" applyAlignment="0" applyProtection="0"/>
    <xf numFmtId="0" fontId="161" fillId="0" borderId="0"/>
    <xf numFmtId="0" fontId="8" fillId="20" borderId="6" applyNumberFormat="0" applyFont="0" applyFill="0">
      <alignment horizontal="center"/>
    </xf>
    <xf numFmtId="14" fontId="4" fillId="0" borderId="0">
      <alignment horizontal="center"/>
    </xf>
    <xf numFmtId="0" fontId="162" fillId="0" borderId="0"/>
    <xf numFmtId="0" fontId="163" fillId="0" borderId="0"/>
    <xf numFmtId="0" fontId="4" fillId="0" borderId="0">
      <alignment horizontal="left"/>
      <protection locked="0"/>
    </xf>
    <xf numFmtId="0" fontId="4" fillId="0" borderId="19">
      <protection locked="0"/>
    </xf>
    <xf numFmtId="0" fontId="4" fillId="0" borderId="4">
      <protection locked="0"/>
    </xf>
    <xf numFmtId="0" fontId="4" fillId="0" borderId="5">
      <protection locked="0"/>
    </xf>
    <xf numFmtId="0" fontId="4" fillId="0" borderId="1"/>
    <xf numFmtId="37" fontId="164" fillId="0" borderId="0" applyNumberFormat="0" applyFont="0" applyFill="0" applyBorder="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55" fillId="8" borderId="10"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165" fillId="0" borderId="75"/>
    <xf numFmtId="268" fontId="37" fillId="0" borderId="0" applyFont="0" applyFill="0" applyBorder="0" applyAlignment="0" applyProtection="0"/>
    <xf numFmtId="37" fontId="4" fillId="0" borderId="0"/>
    <xf numFmtId="269" fontId="166" fillId="0" borderId="0" applyFill="0" applyBorder="0" applyAlignment="0" applyProtection="0"/>
    <xf numFmtId="0" fontId="4" fillId="0" borderId="0"/>
    <xf numFmtId="0" fontId="4" fillId="0" borderId="0"/>
    <xf numFmtId="37" fontId="4" fillId="0" borderId="4"/>
    <xf numFmtId="0" fontId="167" fillId="0" borderId="0"/>
    <xf numFmtId="270" fontId="37"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0" fontId="168" fillId="0" borderId="76">
      <alignment horizontal="center" vertical="top" wrapText="1"/>
      <protection locked="0"/>
    </xf>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34" fillId="56" borderId="8"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40" fontId="170" fillId="2" borderId="0">
      <alignment horizontal="right"/>
    </xf>
    <xf numFmtId="0" fontId="171" fillId="69" borderId="0">
      <alignment horizontal="center"/>
    </xf>
    <xf numFmtId="0" fontId="172" fillId="2" borderId="20"/>
    <xf numFmtId="0" fontId="173" fillId="2" borderId="0" applyBorder="0">
      <alignment horizontal="centerContinuous"/>
    </xf>
    <xf numFmtId="0" fontId="174" fillId="70" borderId="0" applyBorder="0">
      <alignment horizontal="centerContinuous"/>
    </xf>
    <xf numFmtId="3" fontId="8" fillId="13" borderId="40" applyNumberFormat="0" applyAlignment="0">
      <alignment horizontal="center"/>
      <protection locked="0"/>
    </xf>
    <xf numFmtId="0" fontId="175" fillId="0" borderId="0" applyFill="0" applyBorder="0" applyProtection="0">
      <alignment horizontal="left"/>
    </xf>
    <xf numFmtId="0" fontId="176" fillId="0" borderId="0" applyFill="0" applyBorder="0" applyProtection="0">
      <alignment horizontal="left"/>
    </xf>
    <xf numFmtId="1" fontId="177" fillId="0" borderId="0" applyProtection="0">
      <alignment horizontal="right" vertical="center"/>
    </xf>
    <xf numFmtId="0" fontId="178" fillId="2" borderId="0"/>
    <xf numFmtId="0" fontId="4" fillId="0" borderId="0" applyFont="0" applyFill="0" applyAlignment="0" applyProtection="0"/>
    <xf numFmtId="0" fontId="4" fillId="0" borderId="0" applyFont="0" applyFill="0" applyAlignment="0" applyProtection="0"/>
    <xf numFmtId="14" fontId="36" fillId="0" borderId="0">
      <alignment horizontal="center" wrapText="1"/>
      <protection locked="0"/>
    </xf>
    <xf numFmtId="201" fontId="78" fillId="0" borderId="0" applyFont="0" applyFill="0" applyBorder="0" applyAlignment="0" applyProtection="0"/>
    <xf numFmtId="271" fontId="4" fillId="0" borderId="0" applyFont="0" applyFill="0" applyAlignment="0"/>
    <xf numFmtId="272" fontId="4" fillId="0" borderId="0" applyFont="0" applyFill="0" applyBorder="0" applyAlignment="0" applyProtection="0"/>
    <xf numFmtId="273" fontId="10" fillId="0" borderId="0" applyFont="0" applyFill="0" applyBorder="0" applyAlignment="0" applyProtection="0"/>
    <xf numFmtId="274" fontId="4" fillId="0" borderId="0" applyFont="0" applyFill="0" applyAlignment="0"/>
    <xf numFmtId="10" fontId="4" fillId="0" borderId="0" applyFont="0" applyFill="0" applyBorder="0" applyAlignment="0" applyProtection="0"/>
    <xf numFmtId="3" fontId="93" fillId="0" borderId="0"/>
    <xf numFmtId="275" fontId="46" fillId="0" borderId="0">
      <protection hidden="1"/>
    </xf>
    <xf numFmtId="3" fontId="93"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applyFont="0" applyFill="0" applyBorder="0" applyProtection="0">
      <alignment horizontal="right"/>
    </xf>
    <xf numFmtId="9" fontId="4" fillId="0" borderId="0"/>
    <xf numFmtId="10" fontId="4" fillId="0" borderId="0"/>
    <xf numFmtId="10" fontId="37" fillId="0" borderId="0"/>
    <xf numFmtId="0" fontId="179" fillId="5" borderId="51">
      <alignment horizontal="center" vertical="center"/>
    </xf>
    <xf numFmtId="276" fontId="37" fillId="0" borderId="0" applyFont="0" applyFill="0" applyBorder="0" applyAlignment="0" applyProtection="0"/>
    <xf numFmtId="0" fontId="4" fillId="0" borderId="0">
      <protection locked="0"/>
    </xf>
    <xf numFmtId="0" fontId="180" fillId="0" borderId="0">
      <protection locked="0"/>
    </xf>
    <xf numFmtId="0" fontId="4" fillId="0" borderId="0">
      <protection locked="0"/>
    </xf>
    <xf numFmtId="0" fontId="8" fillId="0" borderId="0">
      <protection locked="0"/>
    </xf>
    <xf numFmtId="0" fontId="4" fillId="0" borderId="0"/>
    <xf numFmtId="277" fontId="4" fillId="0" borderId="0" applyFont="0" applyFill="0" applyBorder="0" applyAlignment="0" applyProtection="0"/>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181" fillId="0" borderId="0" applyNumberFormat="0" applyFill="0" applyBorder="0" applyAlignment="0" applyProtection="0"/>
    <xf numFmtId="5" fontId="182" fillId="0" borderId="0"/>
    <xf numFmtId="208" fontId="183" fillId="0" borderId="0"/>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9" fontId="185" fillId="0" borderId="53"/>
    <xf numFmtId="9" fontId="185" fillId="0" borderId="53"/>
    <xf numFmtId="3" fontId="107" fillId="0" borderId="0">
      <protection locked="0"/>
    </xf>
    <xf numFmtId="0" fontId="54" fillId="0" borderId="0" applyNumberFormat="0" applyFont="0" applyFill="0" applyBorder="0" applyAlignment="0" applyProtection="0">
      <alignment horizontal="left"/>
    </xf>
    <xf numFmtId="15" fontId="54" fillId="0" borderId="0" applyFont="0" applyFill="0" applyBorder="0" applyAlignment="0" applyProtection="0"/>
    <xf numFmtId="4" fontId="54" fillId="0" borderId="0" applyFont="0" applyFill="0" applyBorder="0" applyAlignment="0" applyProtection="0"/>
    <xf numFmtId="0" fontId="75" fillId="0" borderId="2">
      <alignment horizontal="center"/>
    </xf>
    <xf numFmtId="3" fontId="54" fillId="0" borderId="0" applyFont="0" applyFill="0" applyBorder="0" applyAlignment="0" applyProtection="0"/>
    <xf numFmtId="0" fontId="54" fillId="71" borderId="0" applyNumberFormat="0" applyFont="0" applyBorder="0" applyAlignment="0" applyProtection="0"/>
    <xf numFmtId="247" fontId="186" fillId="0" borderId="0" applyNumberFormat="0" applyFill="0" applyBorder="0" applyAlignment="0" applyProtection="0">
      <alignment horizontal="left"/>
    </xf>
    <xf numFmtId="0" fontId="28" fillId="0" borderId="22" applyNumberFormat="0" applyFill="0" applyBorder="0" applyAlignment="0" applyProtection="0">
      <alignment horizontal="center"/>
    </xf>
    <xf numFmtId="3" fontId="187"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4" fillId="20" borderId="0"/>
    <xf numFmtId="0" fontId="188" fillId="72" borderId="0" applyNumberFormat="0" applyFont="0" applyBorder="0" applyAlignment="0">
      <alignment horizontal="center"/>
    </xf>
    <xf numFmtId="41" fontId="148" fillId="5" borderId="0">
      <alignment horizontal="center"/>
    </xf>
    <xf numFmtId="49" fontId="189" fillId="2" borderId="0">
      <alignment horizontal="center"/>
    </xf>
    <xf numFmtId="278" fontId="190" fillId="0" borderId="0" applyNumberFormat="0" applyFill="0" applyBorder="0" applyAlignment="0" applyProtection="0">
      <alignment horizontal="left"/>
    </xf>
    <xf numFmtId="278" fontId="191" fillId="0" borderId="0" applyNumberFormat="0" applyFill="0" applyBorder="0" applyAlignment="0" applyProtection="0">
      <alignment horizontal="left"/>
    </xf>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37" fontId="8" fillId="45" borderId="0" applyBorder="0" applyAlignment="0" applyProtection="0"/>
    <xf numFmtId="37" fontId="37" fillId="0" borderId="0" applyNumberFormat="0" applyFont="0" applyFill="0" applyBorder="0" applyAlignment="0" applyProtection="0"/>
    <xf numFmtId="37" fontId="37" fillId="0" borderId="0" applyNumberFormat="0" applyFont="0" applyFill="0" applyBorder="0" applyAlignment="0" applyProtection="0"/>
    <xf numFmtId="37" fontId="37" fillId="0" borderId="0" applyNumberFormat="0" applyFont="0" applyFill="0" applyBorder="0" applyAlignment="0" applyProtection="0"/>
    <xf numFmtId="41" fontId="87" fillId="59" borderId="0">
      <alignment horizontal="center"/>
    </xf>
    <xf numFmtId="41" fontId="87" fillId="59" borderId="0">
      <alignment horizontal="centerContinuous"/>
    </xf>
    <xf numFmtId="41" fontId="193" fillId="2" borderId="0">
      <alignment horizontal="left"/>
    </xf>
    <xf numFmtId="49" fontId="193" fillId="2" borderId="0">
      <alignment horizontal="center"/>
    </xf>
    <xf numFmtId="41" fontId="68" fillId="59" borderId="0">
      <alignment horizontal="left"/>
    </xf>
    <xf numFmtId="49" fontId="193" fillId="2" borderId="0">
      <alignment horizontal="left"/>
    </xf>
    <xf numFmtId="41" fontId="68" fillId="59" borderId="0">
      <alignment horizontal="centerContinuous"/>
    </xf>
    <xf numFmtId="41" fontId="68" fillId="59" borderId="0">
      <alignment horizontal="right"/>
    </xf>
    <xf numFmtId="49" fontId="148" fillId="2" borderId="0">
      <alignment horizontal="left"/>
    </xf>
    <xf numFmtId="208" fontId="4" fillId="0" borderId="0"/>
    <xf numFmtId="41" fontId="87" fillId="59" borderId="0">
      <alignment horizontal="right"/>
    </xf>
    <xf numFmtId="0" fontId="86" fillId="0" borderId="0" applyNumberFormat="0" applyFill="0" applyBorder="0" applyAlignment="0" applyProtection="0">
      <alignment vertical="top"/>
    </xf>
    <xf numFmtId="0" fontId="194" fillId="20" borderId="45" applyNumberFormat="0" applyAlignment="0">
      <protection locked="0"/>
    </xf>
    <xf numFmtId="0" fontId="195" fillId="0" borderId="78">
      <alignment vertical="center"/>
    </xf>
    <xf numFmtId="41" fontId="193" fillId="17" borderId="0">
      <alignment horizontal="center"/>
    </xf>
    <xf numFmtId="41" fontId="43" fillId="17" borderId="0">
      <alignment horizontal="center"/>
    </xf>
    <xf numFmtId="0" fontId="196" fillId="73" borderId="0"/>
    <xf numFmtId="0" fontId="197" fillId="55" borderId="0" applyNumberFormat="0" applyBorder="0" applyAlignment="0" applyProtection="0"/>
    <xf numFmtId="0" fontId="29" fillId="68" borderId="0" applyNumberFormat="0" applyFont="0" applyBorder="0" applyAlignment="0" applyProtection="0"/>
    <xf numFmtId="0" fontId="188" fillId="1" borderId="6" applyNumberFormat="0" applyFont="0" applyAlignment="0">
      <alignment horizontal="center"/>
    </xf>
    <xf numFmtId="1" fontId="4" fillId="0" borderId="0"/>
    <xf numFmtId="0" fontId="198" fillId="0" borderId="79">
      <alignment horizontal="center" vertical="center"/>
    </xf>
    <xf numFmtId="205" fontId="21" fillId="62" borderId="0">
      <alignment horizontal="right"/>
    </xf>
    <xf numFmtId="197" fontId="76" fillId="0" borderId="0" applyFill="0" applyBorder="0" applyAlignment="0" applyProtection="0"/>
    <xf numFmtId="0" fontId="96" fillId="61" borderId="0">
      <alignment horizontal="right" vertical="center"/>
    </xf>
    <xf numFmtId="0" fontId="97" fillId="0" borderId="0" applyNumberFormat="0" applyFill="0" applyBorder="0" applyAlignment="0">
      <alignment horizontal="center"/>
    </xf>
    <xf numFmtId="0" fontId="199" fillId="0" borderId="0"/>
    <xf numFmtId="279" fontId="166" fillId="0" borderId="0"/>
    <xf numFmtId="0" fontId="200" fillId="0" borderId="80" applyProtection="0">
      <alignment horizontal="centerContinuous"/>
    </xf>
    <xf numFmtId="0" fontId="4" fillId="0" borderId="0"/>
    <xf numFmtId="0" fontId="4" fillId="0" borderId="0"/>
    <xf numFmtId="0" fontId="4" fillId="0" borderId="0">
      <alignment horizontal="left" wrapText="1"/>
    </xf>
    <xf numFmtId="0" fontId="4" fillId="0" borderId="0">
      <alignment horizontal="left" wrapText="1"/>
    </xf>
    <xf numFmtId="37" fontId="37" fillId="0" borderId="81" applyBorder="0"/>
    <xf numFmtId="37" fontId="37" fillId="0" borderId="81" applyBorder="0"/>
    <xf numFmtId="37" fontId="99" fillId="0" borderId="81" applyBorder="0"/>
    <xf numFmtId="37" fontId="4" fillId="0" borderId="81" applyBorder="0"/>
    <xf numFmtId="37" fontId="83" fillId="0" borderId="81" applyBorder="0"/>
    <xf numFmtId="37" fontId="201" fillId="69" borderId="82" applyBorder="0">
      <alignment vertical="center"/>
    </xf>
    <xf numFmtId="0" fontId="202" fillId="0" borderId="0"/>
    <xf numFmtId="0" fontId="8" fillId="0" borderId="0"/>
    <xf numFmtId="40" fontId="203" fillId="0" borderId="0" applyBorder="0">
      <alignment horizontal="right"/>
    </xf>
    <xf numFmtId="40" fontId="204" fillId="0" borderId="0" applyBorder="0">
      <alignment horizontal="right"/>
    </xf>
    <xf numFmtId="0" fontId="8" fillId="0" borderId="0" applyNumberFormat="0" applyFont="0"/>
    <xf numFmtId="0" fontId="135" fillId="0" borderId="0"/>
    <xf numFmtId="0" fontId="205" fillId="0" borderId="0"/>
    <xf numFmtId="0" fontId="3" fillId="0" borderId="0" applyFill="0" applyBorder="0" applyProtection="0">
      <alignment horizontal="center" vertical="center"/>
    </xf>
    <xf numFmtId="0" fontId="206" fillId="0" borderId="0" applyBorder="0" applyProtection="0">
      <alignment vertical="center"/>
    </xf>
    <xf numFmtId="0" fontId="4" fillId="0" borderId="1" applyBorder="0" applyProtection="0">
      <alignment horizontal="right" vertical="center"/>
    </xf>
    <xf numFmtId="0" fontId="207" fillId="74" borderId="0" applyBorder="0" applyProtection="0">
      <alignment horizontal="centerContinuous" vertical="center"/>
    </xf>
    <xf numFmtId="0" fontId="207" fillId="54" borderId="1" applyBorder="0" applyProtection="0">
      <alignment horizontal="centerContinuous" vertical="center"/>
    </xf>
    <xf numFmtId="0" fontId="208" fillId="0" borderId="0"/>
    <xf numFmtId="0" fontId="3" fillId="0" borderId="0" applyFill="0" applyBorder="0" applyProtection="0"/>
    <xf numFmtId="0" fontId="162" fillId="0" borderId="0"/>
    <xf numFmtId="0" fontId="8" fillId="0" borderId="0" applyFill="0" applyBorder="0" applyProtection="0">
      <alignment horizontal="left"/>
    </xf>
    <xf numFmtId="0" fontId="42" fillId="0" borderId="0" applyFill="0" applyBorder="0" applyProtection="0">
      <alignment horizontal="left" vertical="top"/>
    </xf>
    <xf numFmtId="0" fontId="28" fillId="0" borderId="0">
      <alignment horizontal="centerContinuous"/>
    </xf>
    <xf numFmtId="2" fontId="93" fillId="0" borderId="0"/>
    <xf numFmtId="0" fontId="4" fillId="0" borderId="0" applyNumberFormat="0" applyFont="0" applyAlignment="0" applyProtection="0"/>
    <xf numFmtId="0" fontId="4" fillId="0" borderId="0"/>
    <xf numFmtId="280" fontId="4" fillId="0" borderId="40" applyFont="0" applyFill="0" applyBorder="0" applyAlignment="0" applyProtection="0">
      <protection locked="0" hidden="1"/>
    </xf>
    <xf numFmtId="0" fontId="74" fillId="0" borderId="69">
      <alignment horizontal="left" vertical="top" wrapText="1"/>
    </xf>
    <xf numFmtId="0" fontId="209" fillId="45" borderId="0">
      <alignment horizontal="left" vertical="center" indent="1"/>
    </xf>
    <xf numFmtId="0" fontId="210" fillId="0" borderId="0"/>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11" fillId="0" borderId="0"/>
    <xf numFmtId="49" fontId="77" fillId="0" borderId="0" applyFill="0" applyBorder="0" applyAlignment="0"/>
    <xf numFmtId="238" fontId="54" fillId="0" borderId="0" applyFill="0" applyBorder="0" applyAlignment="0"/>
    <xf numFmtId="281" fontId="10" fillId="0" borderId="0" applyFill="0" applyBorder="0" applyAlignment="0"/>
    <xf numFmtId="282" fontId="4" fillId="0" borderId="0" applyFill="0" applyBorder="0" applyAlignment="0"/>
    <xf numFmtId="283" fontId="10" fillId="0" borderId="0" applyFill="0" applyBorder="0" applyAlignment="0"/>
    <xf numFmtId="0" fontId="99" fillId="62" borderId="0"/>
    <xf numFmtId="0" fontId="37" fillId="62" borderId="0">
      <alignment horizontal="left"/>
    </xf>
    <xf numFmtId="0" fontId="37" fillId="62" borderId="0">
      <alignment horizontal="left" indent="1"/>
    </xf>
    <xf numFmtId="0" fontId="37" fillId="62" borderId="0">
      <alignment horizontal="left" vertical="center" indent="2"/>
    </xf>
    <xf numFmtId="0" fontId="1" fillId="0" borderId="0">
      <alignment horizontal="centerContinuous" wrapText="1"/>
    </xf>
    <xf numFmtId="0" fontId="101" fillId="0" borderId="0" applyNumberFormat="0" applyFont="0" applyFill="0" applyBorder="0" applyProtection="0">
      <alignment wrapText="1"/>
    </xf>
    <xf numFmtId="0" fontId="88" fillId="0" borderId="0">
      <alignment vertical="top"/>
    </xf>
    <xf numFmtId="0" fontId="212" fillId="0" borderId="0"/>
    <xf numFmtId="0" fontId="193" fillId="0" borderId="0">
      <alignment vertical="top"/>
    </xf>
    <xf numFmtId="284" fontId="213" fillId="0" borderId="0" applyFill="0" applyBorder="0" applyAlignment="0" applyProtection="0">
      <alignment horizontal="right"/>
    </xf>
    <xf numFmtId="285" fontId="4" fillId="0" borderId="0" applyFont="0" applyFill="0" applyBorder="0" applyAlignment="0" applyProtection="0"/>
    <xf numFmtId="0" fontId="29" fillId="0" borderId="0" applyNumberFormat="0" applyFill="0" applyBorder="0" applyAlignment="0" applyProtection="0"/>
    <xf numFmtId="0" fontId="46"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6"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8" fillId="0" borderId="0">
      <alignment vertical="top"/>
    </xf>
    <xf numFmtId="0" fontId="74" fillId="17" borderId="69">
      <alignment horizontal="center" wrapText="1"/>
    </xf>
    <xf numFmtId="0" fontId="74" fillId="17" borderId="69">
      <alignment horizontal="left" vertical="top" wrapText="1"/>
    </xf>
    <xf numFmtId="0" fontId="74" fillId="8" borderId="79">
      <alignment horizontal="left" vertical="center" wrapText="1" indent="1"/>
    </xf>
    <xf numFmtId="0" fontId="219" fillId="0" borderId="0">
      <alignment horizontal="right"/>
    </xf>
    <xf numFmtId="0" fontId="24" fillId="0" borderId="0" applyNumberFormat="0" applyBorder="0" applyAlignment="0"/>
    <xf numFmtId="286" fontId="4" fillId="0" borderId="4" applyNumberFormat="0" applyFont="0" applyFill="0" applyAlignment="0" applyProtection="0"/>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220" fillId="0" borderId="11"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5"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5"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5"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5"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15" fontId="221" fillId="17" borderId="86">
      <alignment horizontal="center" vertical="center"/>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222" fillId="0" borderId="0">
      <alignment horizontal="centerContinuous"/>
    </xf>
    <xf numFmtId="0" fontId="4" fillId="0" borderId="1"/>
    <xf numFmtId="37" fontId="37" fillId="5" borderId="0" applyNumberFormat="0" applyBorder="0" applyAlignment="0" applyProtection="0"/>
    <xf numFmtId="37" fontId="37" fillId="0" borderId="0"/>
    <xf numFmtId="37" fontId="223" fillId="5" borderId="0" applyNumberFormat="0" applyBorder="0" applyAlignment="0" applyProtection="0"/>
    <xf numFmtId="3" fontId="43" fillId="0" borderId="68" applyProtection="0"/>
    <xf numFmtId="41" fontId="224" fillId="2" borderId="0">
      <alignment horizontal="center"/>
    </xf>
    <xf numFmtId="0" fontId="78" fillId="0" borderId="87"/>
    <xf numFmtId="278" fontId="37" fillId="0" borderId="0">
      <alignment horizontal="center"/>
    </xf>
    <xf numFmtId="249" fontId="37" fillId="0" borderId="71">
      <alignment horizontal="center"/>
    </xf>
    <xf numFmtId="37" fontId="37" fillId="0" borderId="71">
      <alignment horizontal="right"/>
    </xf>
    <xf numFmtId="9" fontId="62" fillId="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41" fontId="225" fillId="0" borderId="0" applyNumberFormat="0" applyAlignment="0">
      <alignment horizontal="right"/>
    </xf>
    <xf numFmtId="37" fontId="99" fillId="20" borderId="71">
      <alignment horizontal="right"/>
    </xf>
    <xf numFmtId="37" fontId="226" fillId="20" borderId="71">
      <alignment horizontal="right"/>
    </xf>
    <xf numFmtId="37" fontId="37" fillId="20" borderId="71">
      <alignment horizontal="right"/>
    </xf>
    <xf numFmtId="9" fontId="62" fillId="20" borderId="71">
      <alignment horizontal="right"/>
    </xf>
    <xf numFmtId="0" fontId="4" fillId="0" borderId="0" applyFont="0" applyFill="0" applyAlignment="0" applyProtection="0"/>
    <xf numFmtId="0" fontId="4" fillId="0" borderId="0" applyFont="0" applyFill="0" applyAlignment="0" applyProtection="0"/>
    <xf numFmtId="0" fontId="227" fillId="0" borderId="0">
      <protection hidden="1"/>
    </xf>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9"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37" fontId="37" fillId="0" borderId="0" applyNumberFormat="0" applyFont="0" applyFill="0" applyBorder="0" applyAlignment="0" applyProtection="0"/>
    <xf numFmtId="10" fontId="4" fillId="24" borderId="40" applyNumberFormat="0" applyFont="0" applyBorder="0" applyAlignment="0" applyProtection="0">
      <protection locked="0"/>
    </xf>
    <xf numFmtId="190" fontId="1" fillId="0" borderId="0"/>
    <xf numFmtId="0" fontId="36" fillId="0" borderId="0" applyFont="0" applyFill="0" applyBorder="0" applyProtection="0">
      <alignment horizontal="right"/>
    </xf>
    <xf numFmtId="0" fontId="37" fillId="5" borderId="0"/>
    <xf numFmtId="197" fontId="76"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230" fillId="0" borderId="0" applyFont="0" applyFill="0" applyBorder="0" applyAlignment="0" applyProtection="0"/>
    <xf numFmtId="0" fontId="231" fillId="0" borderId="0"/>
    <xf numFmtId="0" fontId="57" fillId="0" borderId="0"/>
    <xf numFmtId="0" fontId="232" fillId="5" borderId="0" applyNumberFormat="0" applyBorder="0" applyAlignment="0" applyProtection="0">
      <alignment vertical="center"/>
    </xf>
    <xf numFmtId="0" fontId="233" fillId="8" borderId="74" applyNumberFormat="0" applyFont="0" applyAlignment="0" applyProtection="0">
      <alignment vertical="center"/>
    </xf>
    <xf numFmtId="287" fontId="4" fillId="0" borderId="0" applyFont="0" applyFill="0" applyBorder="0" applyAlignment="0" applyProtection="0"/>
    <xf numFmtId="288" fontId="4" fillId="0" borderId="0" applyFont="0" applyFill="0" applyBorder="0" applyAlignment="0" applyProtection="0"/>
    <xf numFmtId="0" fontId="234" fillId="0" borderId="85" applyNumberFormat="0" applyFill="0" applyAlignment="0" applyProtection="0">
      <alignment vertical="center"/>
    </xf>
    <xf numFmtId="289" fontId="4" fillId="0" borderId="0" applyFont="0" applyFill="0" applyBorder="0" applyAlignment="0" applyProtection="0"/>
    <xf numFmtId="290" fontId="4" fillId="0" borderId="0" applyFont="0" applyFill="0" applyBorder="0" applyAlignment="0" applyProtection="0"/>
    <xf numFmtId="0" fontId="230" fillId="0" borderId="0" applyFont="0" applyFill="0" applyBorder="0" applyAlignment="0" applyProtection="0"/>
    <xf numFmtId="291" fontId="230" fillId="0" borderId="0" applyFont="0" applyFill="0" applyBorder="0" applyAlignment="0" applyProtection="0"/>
    <xf numFmtId="0" fontId="235" fillId="10" borderId="0" applyNumberFormat="0" applyBorder="0" applyAlignment="0" applyProtection="0">
      <alignment vertical="center"/>
    </xf>
    <xf numFmtId="0" fontId="236" fillId="0" borderId="0"/>
    <xf numFmtId="0" fontId="237" fillId="4" borderId="0" applyNumberFormat="0" applyBorder="0" applyAlignment="0" applyProtection="0">
      <alignment vertical="center"/>
    </xf>
    <xf numFmtId="0" fontId="238" fillId="4" borderId="0" applyNumberFormat="0" applyBorder="0" applyAlignment="0" applyProtection="0">
      <alignment vertical="center"/>
    </xf>
    <xf numFmtId="0" fontId="239" fillId="10" borderId="0" applyNumberFormat="0" applyBorder="0" applyAlignment="0" applyProtection="0">
      <alignment vertical="center"/>
    </xf>
    <xf numFmtId="0" fontId="4" fillId="0" borderId="0"/>
    <xf numFmtId="0" fontId="60" fillId="41" borderId="0" applyNumberFormat="0" applyBorder="0" applyAlignment="0" applyProtection="0">
      <alignment vertical="center"/>
    </xf>
    <xf numFmtId="0" fontId="60" fillId="44" borderId="0" applyNumberFormat="0" applyBorder="0" applyAlignment="0" applyProtection="0">
      <alignment vertical="center"/>
    </xf>
    <xf numFmtId="0" fontId="60" fillId="47" borderId="0" applyNumberFormat="0" applyBorder="0" applyAlignment="0" applyProtection="0">
      <alignment vertical="center"/>
    </xf>
    <xf numFmtId="0" fontId="60" fillId="34" borderId="0" applyNumberFormat="0" applyBorder="0" applyAlignment="0" applyProtection="0">
      <alignment vertical="center"/>
    </xf>
    <xf numFmtId="0" fontId="60" fillId="36" borderId="0" applyNumberFormat="0" applyBorder="0" applyAlignment="0" applyProtection="0">
      <alignment vertical="center"/>
    </xf>
    <xf numFmtId="0" fontId="60" fillId="51" borderId="0" applyNumberFormat="0" applyBorder="0" applyAlignment="0" applyProtection="0">
      <alignment vertical="center"/>
    </xf>
    <xf numFmtId="0" fontId="240" fillId="0" borderId="0" applyNumberFormat="0" applyFill="0" applyBorder="0" applyAlignment="0" applyProtection="0">
      <alignment vertical="center"/>
    </xf>
    <xf numFmtId="0" fontId="241" fillId="0" borderId="63" applyNumberFormat="0" applyFill="0" applyAlignment="0" applyProtection="0">
      <alignment vertical="center"/>
    </xf>
    <xf numFmtId="0" fontId="242" fillId="0" borderId="65" applyNumberFormat="0" applyFill="0" applyAlignment="0" applyProtection="0">
      <alignment vertical="center"/>
    </xf>
    <xf numFmtId="0" fontId="243" fillId="0" borderId="67" applyNumberFormat="0" applyFill="0" applyAlignment="0" applyProtection="0">
      <alignment vertical="center"/>
    </xf>
    <xf numFmtId="0" fontId="243" fillId="0" borderId="0" applyNumberFormat="0" applyFill="0" applyBorder="0" applyAlignment="0" applyProtection="0">
      <alignment vertical="center"/>
    </xf>
    <xf numFmtId="0" fontId="244" fillId="45" borderId="47" applyNumberFormat="0" applyAlignment="0" applyProtection="0">
      <alignment vertical="center"/>
    </xf>
    <xf numFmtId="0" fontId="245" fillId="0" borderId="0" applyNumberFormat="0" applyFill="0" applyBorder="0" applyAlignment="0" applyProtection="0">
      <alignment vertical="center"/>
    </xf>
    <xf numFmtId="0" fontId="246" fillId="0" borderId="63" applyNumberFormat="0" applyFill="0" applyAlignment="0" applyProtection="0">
      <alignment vertical="center"/>
    </xf>
    <xf numFmtId="0" fontId="247" fillId="0" borderId="65" applyNumberFormat="0" applyFill="0" applyAlignment="0" applyProtection="0">
      <alignment vertical="center"/>
    </xf>
    <xf numFmtId="0" fontId="248" fillId="0" borderId="67" applyNumberFormat="0" applyFill="0" applyAlignment="0" applyProtection="0">
      <alignment vertical="center"/>
    </xf>
    <xf numFmtId="0" fontId="248" fillId="0" borderId="0" applyNumberFormat="0" applyFill="0" applyBorder="0" applyAlignment="0" applyProtection="0">
      <alignment vertical="center"/>
    </xf>
    <xf numFmtId="0" fontId="249" fillId="45" borderId="47" applyNumberFormat="0" applyAlignment="0" applyProtection="0">
      <alignment vertical="center"/>
    </xf>
    <xf numFmtId="0" fontId="250" fillId="0" borderId="85" applyNumberFormat="0" applyFill="0" applyAlignment="0" applyProtection="0">
      <alignment vertical="center"/>
    </xf>
    <xf numFmtId="0" fontId="4" fillId="8" borderId="74" applyNumberFormat="0" applyFont="0" applyAlignment="0" applyProtection="0">
      <alignment vertical="center"/>
    </xf>
    <xf numFmtId="0" fontId="251" fillId="0" borderId="0" applyNumberFormat="0" applyFill="0" applyBorder="0" applyAlignment="0" applyProtection="0">
      <alignment vertical="center"/>
    </xf>
    <xf numFmtId="0" fontId="252" fillId="20" borderId="46" applyNumberFormat="0" applyAlignment="0" applyProtection="0">
      <alignment vertical="center"/>
    </xf>
    <xf numFmtId="0" fontId="253" fillId="0" borderId="0" applyNumberFormat="0" applyFill="0" applyBorder="0" applyAlignment="0" applyProtection="0">
      <alignment vertical="center"/>
    </xf>
    <xf numFmtId="0" fontId="254" fillId="0" borderId="0" applyNumberFormat="0" applyFill="0" applyBorder="0" applyAlignment="0" applyProtection="0">
      <alignment vertical="center"/>
    </xf>
    <xf numFmtId="0" fontId="255" fillId="0" borderId="0" applyNumberFormat="0" applyFill="0" applyBorder="0" applyAlignment="0" applyProtection="0">
      <alignment vertical="center"/>
    </xf>
    <xf numFmtId="0" fontId="256" fillId="20" borderId="46" applyNumberFormat="0" applyAlignment="0" applyProtection="0">
      <alignment vertical="center"/>
    </xf>
    <xf numFmtId="292" fontId="4" fillId="0" borderId="0" applyFont="0" applyFill="0" applyBorder="0" applyAlignment="0" applyProtection="0"/>
    <xf numFmtId="293" fontId="4" fillId="0" borderId="0" applyFont="0" applyFill="0" applyBorder="0" applyAlignment="0" applyProtection="0"/>
    <xf numFmtId="0" fontId="61" fillId="41" borderId="0" applyNumberFormat="0" applyBorder="0" applyAlignment="0" applyProtection="0">
      <alignment vertical="center"/>
    </xf>
    <xf numFmtId="0" fontId="61" fillId="44" borderId="0" applyNumberFormat="0" applyBorder="0" applyAlignment="0" applyProtection="0">
      <alignment vertical="center"/>
    </xf>
    <xf numFmtId="0" fontId="61" fillId="47" borderId="0" applyNumberFormat="0" applyBorder="0" applyAlignment="0" applyProtection="0">
      <alignment vertical="center"/>
    </xf>
    <xf numFmtId="0" fontId="61" fillId="34" borderId="0" applyNumberFormat="0" applyBorder="0" applyAlignment="0" applyProtection="0">
      <alignment vertical="center"/>
    </xf>
    <xf numFmtId="0" fontId="61" fillId="36" borderId="0" applyNumberFormat="0" applyBorder="0" applyAlignment="0" applyProtection="0">
      <alignment vertical="center"/>
    </xf>
    <xf numFmtId="0" fontId="61" fillId="51" borderId="0" applyNumberFormat="0" applyBorder="0" applyAlignment="0" applyProtection="0">
      <alignment vertical="center"/>
    </xf>
    <xf numFmtId="0" fontId="257" fillId="17" borderId="46" applyNumberFormat="0" applyAlignment="0" applyProtection="0">
      <alignment vertical="center"/>
    </xf>
    <xf numFmtId="0" fontId="258" fillId="20" borderId="77" applyNumberFormat="0" applyAlignment="0" applyProtection="0">
      <alignment vertical="center"/>
    </xf>
    <xf numFmtId="0" fontId="259" fillId="17" borderId="46" applyNumberFormat="0" applyAlignment="0" applyProtection="0">
      <alignment vertical="center"/>
    </xf>
    <xf numFmtId="0" fontId="260" fillId="20" borderId="77" applyNumberFormat="0" applyAlignment="0" applyProtection="0">
      <alignment vertical="center"/>
    </xf>
    <xf numFmtId="0" fontId="261" fillId="5" borderId="0" applyNumberFormat="0" applyBorder="0" applyAlignment="0" applyProtection="0">
      <alignment vertical="center"/>
    </xf>
    <xf numFmtId="0" fontId="262" fillId="0" borderId="72" applyNumberFormat="0" applyFill="0" applyAlignment="0" applyProtection="0">
      <alignment vertical="center"/>
    </xf>
    <xf numFmtId="0" fontId="263" fillId="0" borderId="72" applyNumberFormat="0" applyFill="0" applyAlignment="0" applyProtection="0">
      <alignment vertical="center"/>
    </xf>
    <xf numFmtId="0" fontId="264" fillId="0" borderId="0"/>
    <xf numFmtId="44" fontId="264" fillId="0" borderId="0" applyFont="0" applyFill="0" applyBorder="0" applyAlignment="0" applyProtection="0"/>
    <xf numFmtId="43" fontId="264" fillId="0" borderId="0" applyFont="0" applyFill="0" applyBorder="0" applyAlignment="0" applyProtection="0"/>
    <xf numFmtId="9" fontId="264" fillId="0" borderId="0" applyFont="0" applyFill="0" applyBorder="0" applyAlignment="0" applyProtection="0"/>
    <xf numFmtId="0" fontId="55" fillId="7" borderId="0" applyNumberFormat="0" applyBorder="0" applyAlignment="0" applyProtection="0"/>
    <xf numFmtId="0" fontId="55" fillId="9" borderId="0" applyNumberFormat="0" applyBorder="0" applyAlignment="0" applyProtection="0"/>
    <xf numFmtId="0" fontId="55" fillId="11" borderId="0" applyNumberFormat="0" applyBorder="0" applyAlignment="0" applyProtection="0"/>
    <xf numFmtId="0" fontId="55" fillId="12" borderId="0" applyNumberFormat="0" applyBorder="0" applyAlignment="0" applyProtection="0"/>
    <xf numFmtId="0" fontId="55" fillId="15" borderId="0" applyNumberFormat="0" applyBorder="0" applyAlignment="0" applyProtection="0"/>
    <xf numFmtId="0" fontId="55" fillId="16" borderId="0" applyNumberFormat="0" applyBorder="0" applyAlignment="0" applyProtection="0"/>
    <xf numFmtId="0" fontId="55" fillId="18" borderId="0" applyNumberFormat="0" applyBorder="0" applyAlignment="0" applyProtection="0"/>
    <xf numFmtId="0" fontId="55" fillId="21" borderId="0" applyNumberFormat="0" applyBorder="0" applyAlignment="0" applyProtection="0"/>
    <xf numFmtId="0" fontId="55" fillId="23" borderId="0" applyNumberFormat="0" applyBorder="0" applyAlignment="0" applyProtection="0"/>
    <xf numFmtId="0" fontId="55" fillId="25" borderId="0" applyNumberFormat="0" applyBorder="0" applyAlignment="0" applyProtection="0"/>
    <xf numFmtId="0" fontId="55" fillId="26" borderId="0" applyNumberFormat="0" applyBorder="0" applyAlignment="0" applyProtection="0"/>
    <xf numFmtId="0" fontId="55" fillId="27" borderId="0" applyNumberFormat="0" applyBorder="0" applyAlignment="0" applyProtection="0"/>
    <xf numFmtId="0" fontId="59" fillId="29" borderId="0" applyNumberFormat="0" applyBorder="0" applyAlignment="0" applyProtection="0"/>
    <xf numFmtId="0" fontId="59" fillId="31" borderId="0" applyNumberFormat="0" applyBorder="0" applyAlignment="0" applyProtection="0"/>
    <xf numFmtId="0" fontId="59" fillId="32" borderId="0" applyNumberFormat="0" applyBorder="0" applyAlignment="0" applyProtection="0"/>
    <xf numFmtId="0" fontId="59" fillId="33" borderId="0" applyNumberFormat="0" applyBorder="0" applyAlignment="0" applyProtection="0"/>
    <xf numFmtId="0" fontId="59" fillId="35" borderId="0" applyNumberFormat="0" applyBorder="0" applyAlignment="0" applyProtection="0"/>
    <xf numFmtId="0" fontId="59" fillId="37" borderId="0" applyNumberFormat="0" applyBorder="0" applyAlignment="0" applyProtection="0"/>
    <xf numFmtId="0" fontId="59" fillId="40" borderId="0" applyNumberFormat="0" applyBorder="0" applyAlignment="0" applyProtection="0"/>
    <xf numFmtId="0" fontId="59" fillId="43" borderId="0" applyNumberFormat="0" applyBorder="0" applyAlignment="0" applyProtection="0"/>
    <xf numFmtId="0" fontId="59" fillId="46" borderId="0" applyNumberFormat="0" applyBorder="0" applyAlignment="0" applyProtection="0"/>
    <xf numFmtId="0" fontId="59" fillId="48" borderId="0" applyNumberFormat="0" applyBorder="0" applyAlignment="0" applyProtection="0"/>
    <xf numFmtId="0" fontId="59" fillId="49" borderId="0" applyNumberFormat="0" applyBorder="0" applyAlignment="0" applyProtection="0"/>
    <xf numFmtId="0" fontId="59" fillId="50" borderId="0" applyNumberFormat="0" applyBorder="0" applyAlignment="0" applyProtection="0"/>
    <xf numFmtId="0" fontId="31" fillId="53" borderId="0" applyNumberFormat="0" applyBorder="0" applyAlignment="0" applyProtection="0"/>
    <xf numFmtId="0" fontId="35" fillId="56" borderId="7" applyNumberFormat="0" applyAlignment="0" applyProtection="0"/>
    <xf numFmtId="0" fontId="85" fillId="58" borderId="9" applyNumberFormat="0" applyAlignment="0" applyProtection="0"/>
    <xf numFmtId="0" fontId="274" fillId="0" borderId="0" applyNumberFormat="0" applyFill="0" applyBorder="0" applyAlignment="0" applyProtection="0"/>
    <xf numFmtId="0" fontId="30" fillId="65" borderId="0" applyNumberFormat="0" applyBorder="0" applyAlignment="0" applyProtection="0"/>
    <xf numFmtId="0" fontId="275" fillId="0" borderId="103" applyNumberFormat="0" applyFill="0" applyAlignment="0" applyProtection="0"/>
    <xf numFmtId="0" fontId="276" fillId="0" borderId="104" applyNumberFormat="0" applyFill="0" applyAlignment="0" applyProtection="0"/>
    <xf numFmtId="0" fontId="277" fillId="0" borderId="105" applyNumberFormat="0" applyFill="0" applyAlignment="0" applyProtection="0"/>
    <xf numFmtId="0" fontId="277" fillId="0" borderId="0" applyNumberFormat="0" applyFill="0" applyBorder="0" applyAlignment="0" applyProtection="0"/>
    <xf numFmtId="0" fontId="33" fillId="17" borderId="7" applyNumberFormat="0" applyAlignment="0" applyProtection="0"/>
    <xf numFmtId="0" fontId="278" fillId="0" borderId="106" applyNumberFormat="0" applyFill="0" applyAlignment="0" applyProtection="0"/>
    <xf numFmtId="0" fontId="32" fillId="67" borderId="0" applyNumberFormat="0" applyBorder="0" applyAlignment="0" applyProtection="0"/>
    <xf numFmtId="0" fontId="55" fillId="8" borderId="10" applyNumberFormat="0" applyFont="0" applyAlignment="0" applyProtection="0"/>
    <xf numFmtId="0" fontId="34" fillId="56" borderId="8" applyNumberFormat="0" applyAlignment="0" applyProtection="0"/>
    <xf numFmtId="0" fontId="216" fillId="0" borderId="0" applyNumberFormat="0" applyFill="0" applyBorder="0" applyAlignment="0" applyProtection="0"/>
    <xf numFmtId="0" fontId="220" fillId="0" borderId="11" applyNumberFormat="0" applyFill="0" applyAlignment="0" applyProtection="0"/>
    <xf numFmtId="0" fontId="229" fillId="0" borderId="0" applyNumberForma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cellStyleXfs>
  <cellXfs count="659">
    <xf numFmtId="0" fontId="0" fillId="0" borderId="0" xfId="0"/>
    <xf numFmtId="0" fontId="3" fillId="2" borderId="0" xfId="0" applyFont="1" applyFill="1" applyBorder="1" applyAlignment="1">
      <alignment horizontal="left"/>
    </xf>
    <xf numFmtId="0" fontId="1" fillId="2" borderId="0" xfId="0" applyFont="1" applyFill="1" applyBorder="1" applyAlignment="1">
      <alignment horizontal="left"/>
    </xf>
    <xf numFmtId="41" fontId="3" fillId="3" borderId="0" xfId="0" applyNumberFormat="1" applyFont="1" applyFill="1" applyBorder="1" applyAlignment="1">
      <alignment horizontal="left"/>
    </xf>
    <xf numFmtId="41" fontId="1" fillId="3" borderId="0" xfId="0" applyNumberFormat="1" applyFont="1" applyFill="1" applyBorder="1" applyAlignment="1">
      <alignment horizontal="left"/>
    </xf>
    <xf numFmtId="0" fontId="1" fillId="2" borderId="0" xfId="0" applyFont="1" applyFill="1" applyAlignment="1"/>
    <xf numFmtId="0" fontId="1" fillId="2" borderId="0" xfId="0" applyFont="1" applyFill="1" applyBorder="1" applyAlignment="1"/>
    <xf numFmtId="41" fontId="3" fillId="2" borderId="0" xfId="0" applyNumberFormat="1" applyFont="1" applyFill="1" applyBorder="1" applyAlignment="1"/>
    <xf numFmtId="42" fontId="3" fillId="2" borderId="0" xfId="0" applyNumberFormat="1" applyFont="1" applyFill="1" applyBorder="1" applyAlignment="1"/>
    <xf numFmtId="42" fontId="3" fillId="3" borderId="0" xfId="0" applyNumberFormat="1" applyFont="1" applyFill="1" applyBorder="1" applyAlignment="1"/>
    <xf numFmtId="41" fontId="1" fillId="2" borderId="0" xfId="0" applyNumberFormat="1" applyFont="1" applyFill="1" applyBorder="1" applyAlignment="1"/>
    <xf numFmtId="41" fontId="3" fillId="3" borderId="0" xfId="0" applyNumberFormat="1" applyFont="1" applyFill="1" applyBorder="1" applyAlignment="1"/>
    <xf numFmtId="41" fontId="1" fillId="3" borderId="0" xfId="0" applyNumberFormat="1" applyFont="1" applyFill="1" applyBorder="1" applyAlignment="1"/>
    <xf numFmtId="42" fontId="3" fillId="2" borderId="0" xfId="3" applyNumberFormat="1" applyFont="1" applyFill="1" applyBorder="1" applyAlignment="1"/>
    <xf numFmtId="41" fontId="3" fillId="2" borderId="0" xfId="1" applyNumberFormat="1" applyFont="1" applyFill="1" applyBorder="1" applyAlignment="1"/>
    <xf numFmtId="41" fontId="1" fillId="2" borderId="0" xfId="1" applyNumberFormat="1" applyFont="1" applyFill="1" applyBorder="1" applyAlignment="1"/>
    <xf numFmtId="41" fontId="5" fillId="2" borderId="0" xfId="1" applyNumberFormat="1" applyFont="1" applyFill="1" applyBorder="1" applyAlignment="1"/>
    <xf numFmtId="42" fontId="6" fillId="2" borderId="0" xfId="0" applyNumberFormat="1" applyFont="1" applyFill="1" applyBorder="1" applyAlignment="1"/>
    <xf numFmtId="0" fontId="1" fillId="2" borderId="0" xfId="0" applyFont="1" applyFill="1"/>
    <xf numFmtId="0" fontId="3" fillId="2" borderId="0" xfId="0" applyFont="1" applyFill="1" applyBorder="1" applyAlignment="1">
      <alignment horizontal="center"/>
    </xf>
    <xf numFmtId="0" fontId="8" fillId="2" borderId="0" xfId="0" applyFont="1" applyFill="1" applyBorder="1" applyAlignment="1">
      <alignment vertical="top"/>
    </xf>
    <xf numFmtId="0" fontId="1" fillId="2" borderId="0" xfId="0" applyFont="1" applyFill="1" applyAlignment="1">
      <alignment vertical="top"/>
    </xf>
    <xf numFmtId="0" fontId="1" fillId="2" borderId="0" xfId="0" applyFont="1" applyFill="1" applyBorder="1" applyAlignment="1">
      <alignment vertical="top"/>
    </xf>
    <xf numFmtId="0" fontId="2" fillId="2" borderId="0" xfId="0" applyFont="1" applyFill="1" applyAlignment="1">
      <alignment vertical="top"/>
    </xf>
    <xf numFmtId="0" fontId="3" fillId="2" borderId="0" xfId="0" applyFont="1" applyFill="1" applyBorder="1" applyAlignment="1">
      <alignment horizontal="center" vertical="top"/>
    </xf>
    <xf numFmtId="0" fontId="3" fillId="2" borderId="0" xfId="0" applyFont="1" applyFill="1" applyBorder="1" applyAlignment="1">
      <alignment vertical="top"/>
    </xf>
    <xf numFmtId="0" fontId="3" fillId="2" borderId="0" xfId="0" quotePrefix="1" applyFont="1" applyFill="1" applyBorder="1" applyAlignment="1">
      <alignment horizontal="center" vertical="top"/>
    </xf>
    <xf numFmtId="0" fontId="0" fillId="2" borderId="0" xfId="0" applyFill="1"/>
    <xf numFmtId="0" fontId="3" fillId="2" borderId="0" xfId="0" applyFont="1" applyFill="1"/>
    <xf numFmtId="0" fontId="3" fillId="2" borderId="0" xfId="0" applyFont="1" applyFill="1" applyAlignment="1"/>
    <xf numFmtId="0" fontId="15" fillId="2" borderId="0" xfId="0" applyFont="1" applyFill="1" applyAlignment="1">
      <alignment horizontal="center"/>
    </xf>
    <xf numFmtId="0" fontId="1" fillId="2" borderId="0" xfId="0" applyFont="1" applyFill="1" applyAlignment="1">
      <alignment horizontal="center"/>
    </xf>
    <xf numFmtId="0" fontId="11" fillId="2" borderId="0" xfId="0" applyFont="1" applyFill="1"/>
    <xf numFmtId="44" fontId="3" fillId="2" borderId="0" xfId="2" applyFont="1" applyFill="1" applyBorder="1"/>
    <xf numFmtId="0" fontId="16" fillId="2" borderId="0" xfId="0" applyFont="1" applyFill="1"/>
    <xf numFmtId="44" fontId="17" fillId="2" borderId="0" xfId="0" applyNumberFormat="1" applyFont="1" applyFill="1"/>
    <xf numFmtId="44" fontId="3" fillId="2" borderId="0" xfId="0" applyNumberFormat="1" applyFont="1" applyFill="1"/>
    <xf numFmtId="165" fontId="1" fillId="2" borderId="0" xfId="1" applyNumberFormat="1" applyFont="1" applyFill="1"/>
    <xf numFmtId="166" fontId="3" fillId="2" borderId="0" xfId="3" applyNumberFormat="1" applyFont="1" applyFill="1" applyBorder="1" applyAlignment="1"/>
    <xf numFmtId="166" fontId="1" fillId="2" borderId="0" xfId="3" applyNumberFormat="1" applyFont="1" applyFill="1" applyBorder="1" applyAlignment="1"/>
    <xf numFmtId="166" fontId="5" fillId="2" borderId="0" xfId="3" applyNumberFormat="1" applyFont="1" applyFill="1" applyBorder="1" applyAlignment="1"/>
    <xf numFmtId="166" fontId="6" fillId="2" borderId="0" xfId="3" applyNumberFormat="1" applyFont="1" applyFill="1" applyBorder="1" applyAlignment="1"/>
    <xf numFmtId="166" fontId="1" fillId="2" borderId="0" xfId="3" applyNumberFormat="1" applyFont="1" applyFill="1" applyBorder="1" applyAlignment="1">
      <alignment horizontal="right"/>
    </xf>
    <xf numFmtId="0" fontId="22" fillId="2" borderId="0" xfId="0" applyFont="1" applyFill="1"/>
    <xf numFmtId="0" fontId="3" fillId="2" borderId="0" xfId="0" applyFont="1" applyFill="1" applyAlignment="1">
      <alignment horizontal="center"/>
    </xf>
    <xf numFmtId="0" fontId="3" fillId="2" borderId="1" xfId="0" applyFont="1" applyFill="1" applyBorder="1" applyAlignment="1">
      <alignment horizontal="center"/>
    </xf>
    <xf numFmtId="165" fontId="16" fillId="2" borderId="0" xfId="1" applyNumberFormat="1" applyFont="1" applyFill="1"/>
    <xf numFmtId="41" fontId="1" fillId="2" borderId="0" xfId="3" applyNumberFormat="1" applyFont="1" applyFill="1" applyBorder="1" applyAlignment="1"/>
    <xf numFmtId="0" fontId="0" fillId="2" borderId="0" xfId="0" applyFont="1" applyFill="1"/>
    <xf numFmtId="41" fontId="1" fillId="75" borderId="0" xfId="0" applyNumberFormat="1" applyFont="1" applyFill="1" applyBorder="1" applyAlignment="1"/>
    <xf numFmtId="0" fontId="1" fillId="75" borderId="0" xfId="0" applyFont="1" applyFill="1" applyBorder="1" applyAlignment="1">
      <alignment horizontal="left"/>
    </xf>
    <xf numFmtId="41" fontId="5" fillId="75" borderId="0" xfId="1" applyNumberFormat="1" applyFont="1" applyFill="1" applyBorder="1" applyAlignment="1"/>
    <xf numFmtId="0" fontId="0" fillId="75" borderId="0" xfId="0" applyFill="1"/>
    <xf numFmtId="0" fontId="1" fillId="75" borderId="0" xfId="0" applyFont="1" applyFill="1" applyBorder="1" applyAlignment="1">
      <alignment vertical="top"/>
    </xf>
    <xf numFmtId="41" fontId="1" fillId="75" borderId="0" xfId="0" applyNumberFormat="1" applyFont="1" applyFill="1" applyBorder="1" applyAlignment="1">
      <alignment horizontal="left"/>
    </xf>
    <xf numFmtId="41" fontId="1" fillId="75" borderId="0" xfId="1" applyNumberFormat="1" applyFont="1" applyFill="1" applyBorder="1" applyAlignment="1"/>
    <xf numFmtId="42" fontId="3" fillId="75" borderId="0" xfId="0" applyNumberFormat="1" applyFont="1" applyFill="1" applyBorder="1" applyAlignment="1"/>
    <xf numFmtId="0" fontId="3" fillId="75" borderId="0" xfId="0" applyFont="1" applyFill="1" applyBorder="1" applyAlignment="1">
      <alignment vertical="top"/>
    </xf>
    <xf numFmtId="42" fontId="6" fillId="75" borderId="0" xfId="0" applyNumberFormat="1" applyFont="1" applyFill="1" applyBorder="1" applyAlignment="1"/>
    <xf numFmtId="0" fontId="3" fillId="75" borderId="0" xfId="0" applyFont="1" applyFill="1" applyAlignment="1">
      <alignment horizontal="center"/>
    </xf>
    <xf numFmtId="0" fontId="0" fillId="75" borderId="0" xfId="0" applyFill="1" applyAlignment="1">
      <alignment horizontal="center"/>
    </xf>
    <xf numFmtId="0" fontId="1" fillId="75" borderId="0" xfId="0" applyFont="1" applyFill="1" applyAlignment="1">
      <alignment horizontal="center"/>
    </xf>
    <xf numFmtId="0" fontId="11" fillId="75" borderId="0" xfId="0" applyFont="1" applyFill="1"/>
    <xf numFmtId="0" fontId="3" fillId="75" borderId="0" xfId="0" applyFont="1" applyFill="1" applyAlignment="1"/>
    <xf numFmtId="44" fontId="3" fillId="75" borderId="0" xfId="2" applyFont="1" applyFill="1" applyBorder="1"/>
    <xf numFmtId="0" fontId="1" fillId="75" borderId="0" xfId="0" applyFont="1" applyFill="1"/>
    <xf numFmtId="44" fontId="17" fillId="75" borderId="0" xfId="0" applyNumberFormat="1" applyFont="1" applyFill="1"/>
    <xf numFmtId="0" fontId="1" fillId="75" borderId="0" xfId="0" applyFont="1" applyFill="1" applyAlignment="1"/>
    <xf numFmtId="165" fontId="16" fillId="75" borderId="0" xfId="1" applyNumberFormat="1" applyFont="1" applyFill="1"/>
    <xf numFmtId="165" fontId="1" fillId="75" borderId="0" xfId="1" applyNumberFormat="1" applyFont="1" applyFill="1"/>
    <xf numFmtId="0" fontId="16" fillId="75" borderId="0" xfId="0" applyFont="1" applyFill="1"/>
    <xf numFmtId="0" fontId="267" fillId="75" borderId="0" xfId="0" applyFont="1" applyFill="1"/>
    <xf numFmtId="0" fontId="267" fillId="75" borderId="0" xfId="0" applyNumberFormat="1" applyFont="1" applyFill="1" applyAlignment="1">
      <alignment horizontal="left"/>
    </xf>
    <xf numFmtId="0" fontId="266" fillId="75" borderId="0" xfId="0" applyNumberFormat="1" applyFont="1" applyFill="1" applyAlignment="1">
      <alignment vertical="center"/>
    </xf>
    <xf numFmtId="0" fontId="266" fillId="75" borderId="0" xfId="0" applyNumberFormat="1" applyFont="1" applyFill="1" applyAlignment="1">
      <alignment horizontal="left" vertical="center"/>
    </xf>
    <xf numFmtId="0" fontId="266" fillId="75" borderId="99" xfId="0" applyNumberFormat="1" applyFont="1" applyFill="1" applyBorder="1" applyAlignment="1">
      <alignment horizontal="center" vertical="center"/>
    </xf>
    <xf numFmtId="0" fontId="267" fillId="75" borderId="0" xfId="0" applyNumberFormat="1" applyFont="1" applyFill="1" applyAlignment="1"/>
    <xf numFmtId="164" fontId="267" fillId="75" borderId="0" xfId="2" applyNumberFormat="1" applyFont="1" applyFill="1" applyAlignment="1">
      <alignment horizontal="left"/>
    </xf>
    <xf numFmtId="164" fontId="267" fillId="75" borderId="0" xfId="2" applyNumberFormat="1" applyFont="1" applyFill="1" applyAlignment="1">
      <alignment horizontal="right"/>
    </xf>
    <xf numFmtId="0" fontId="267" fillId="75" borderId="0" xfId="0" applyNumberFormat="1" applyFont="1" applyFill="1" applyAlignment="1">
      <alignment horizontal="right"/>
    </xf>
    <xf numFmtId="165" fontId="267" fillId="75" borderId="0" xfId="1" applyNumberFormat="1" applyFont="1" applyFill="1" applyAlignment="1">
      <alignment horizontal="left"/>
    </xf>
    <xf numFmtId="165" fontId="267" fillId="75" borderId="0" xfId="1" applyNumberFormat="1" applyFont="1" applyFill="1" applyAlignment="1">
      <alignment horizontal="right"/>
    </xf>
    <xf numFmtId="0" fontId="267" fillId="75" borderId="0" xfId="0" applyNumberFormat="1" applyFont="1" applyFill="1" applyBorder="1" applyAlignment="1"/>
    <xf numFmtId="0" fontId="267" fillId="75" borderId="0" xfId="0" applyFont="1" applyFill="1" applyBorder="1"/>
    <xf numFmtId="0" fontId="16" fillId="75" borderId="0" xfId="9" applyFont="1" applyFill="1"/>
    <xf numFmtId="0" fontId="3" fillId="75" borderId="0" xfId="8" applyFont="1" applyFill="1" applyBorder="1" applyAlignment="1">
      <alignment horizontal="center"/>
    </xf>
    <xf numFmtId="0" fontId="3" fillId="75" borderId="0" xfId="8" applyFont="1" applyFill="1" applyBorder="1"/>
    <xf numFmtId="0" fontId="1" fillId="75" borderId="0" xfId="8" applyFont="1" applyFill="1" applyBorder="1"/>
    <xf numFmtId="0" fontId="1" fillId="75" borderId="0" xfId="8" applyFont="1" applyFill="1" applyBorder="1" applyAlignment="1">
      <alignment horizontal="center"/>
    </xf>
    <xf numFmtId="0" fontId="1" fillId="75" borderId="0" xfId="10" applyFont="1" applyFill="1"/>
    <xf numFmtId="0" fontId="1" fillId="75" borderId="13" xfId="8" applyFont="1" applyFill="1" applyBorder="1" applyAlignment="1">
      <alignment horizontal="center"/>
    </xf>
    <xf numFmtId="0" fontId="3" fillId="75" borderId="15" xfId="8" applyFont="1" applyFill="1" applyBorder="1" applyAlignment="1">
      <alignment horizontal="center" wrapText="1"/>
    </xf>
    <xf numFmtId="0" fontId="3" fillId="75" borderId="92" xfId="8" applyFont="1" applyFill="1" applyBorder="1" applyAlignment="1">
      <alignment horizontal="center" wrapText="1"/>
    </xf>
    <xf numFmtId="0" fontId="3" fillId="75" borderId="0" xfId="8" applyFont="1" applyFill="1" applyBorder="1" applyAlignment="1">
      <alignment wrapText="1"/>
    </xf>
    <xf numFmtId="164" fontId="1" fillId="75" borderId="0" xfId="8" applyNumberFormat="1" applyFont="1" applyFill="1" applyBorder="1" applyAlignment="1">
      <alignment horizontal="center"/>
    </xf>
    <xf numFmtId="164" fontId="1" fillId="75" borderId="21" xfId="2" applyNumberFormat="1" applyFont="1" applyFill="1" applyBorder="1" applyAlignment="1"/>
    <xf numFmtId="164" fontId="1" fillId="75" borderId="95" xfId="2" applyNumberFormat="1" applyFont="1" applyFill="1" applyBorder="1" applyAlignment="1"/>
    <xf numFmtId="0" fontId="16" fillId="75" borderId="0" xfId="9" applyFont="1" applyFill="1" applyBorder="1"/>
    <xf numFmtId="164" fontId="1" fillId="75" borderId="19" xfId="8" applyNumberFormat="1" applyFont="1" applyFill="1" applyBorder="1"/>
    <xf numFmtId="164" fontId="1" fillId="75" borderId="0" xfId="8" applyNumberFormat="1" applyFont="1" applyFill="1" applyBorder="1" applyAlignment="1">
      <alignment wrapText="1"/>
    </xf>
    <xf numFmtId="165" fontId="1" fillId="75" borderId="21" xfId="6" quotePrefix="1" applyNumberFormat="1" applyFont="1" applyFill="1" applyBorder="1" applyAlignment="1">
      <alignment horizontal="right"/>
    </xf>
    <xf numFmtId="165" fontId="1" fillId="75" borderId="95" xfId="6" quotePrefix="1" applyNumberFormat="1" applyFont="1" applyFill="1" applyBorder="1" applyAlignment="1">
      <alignment horizontal="right"/>
    </xf>
    <xf numFmtId="167" fontId="1" fillId="75" borderId="21" xfId="6" quotePrefix="1" applyNumberFormat="1" applyFont="1" applyFill="1" applyBorder="1" applyAlignment="1">
      <alignment horizontal="right"/>
    </xf>
    <xf numFmtId="167" fontId="1" fillId="75" borderId="95" xfId="6" quotePrefix="1" applyNumberFormat="1" applyFont="1" applyFill="1" applyBorder="1" applyAlignment="1">
      <alignment horizontal="right"/>
    </xf>
    <xf numFmtId="164" fontId="1" fillId="75" borderId="0" xfId="8" quotePrefix="1" applyNumberFormat="1" applyFont="1" applyFill="1" applyBorder="1" applyAlignment="1">
      <alignment horizontal="center"/>
    </xf>
    <xf numFmtId="164" fontId="1" fillId="75" borderId="1" xfId="10" applyNumberFormat="1" applyFont="1" applyFill="1" applyBorder="1" applyAlignment="1">
      <alignment horizontal="center"/>
    </xf>
    <xf numFmtId="164" fontId="1" fillId="75" borderId="100" xfId="2" applyNumberFormat="1" applyFont="1" applyFill="1" applyBorder="1"/>
    <xf numFmtId="164" fontId="1" fillId="75" borderId="101" xfId="2" applyNumberFormat="1" applyFont="1" applyFill="1" applyBorder="1"/>
    <xf numFmtId="164" fontId="1" fillId="75" borderId="28" xfId="10" applyNumberFormat="1" applyFont="1" applyFill="1" applyBorder="1"/>
    <xf numFmtId="164" fontId="1" fillId="75" borderId="2" xfId="10" applyNumberFormat="1" applyFont="1" applyFill="1" applyBorder="1"/>
    <xf numFmtId="164" fontId="1" fillId="75" borderId="2" xfId="10" applyNumberFormat="1" applyFont="1" applyFill="1" applyBorder="1" applyAlignment="1">
      <alignment horizontal="center"/>
    </xf>
    <xf numFmtId="9" fontId="1" fillId="75" borderId="2" xfId="7" applyFont="1" applyFill="1" applyBorder="1"/>
    <xf numFmtId="9" fontId="1" fillId="75" borderId="29" xfId="7" applyFont="1" applyFill="1" applyBorder="1"/>
    <xf numFmtId="164" fontId="1" fillId="75" borderId="0" xfId="10" applyNumberFormat="1" applyFont="1" applyFill="1" applyBorder="1"/>
    <xf numFmtId="164" fontId="1" fillId="75" borderId="0" xfId="10" applyNumberFormat="1" applyFont="1" applyFill="1"/>
    <xf numFmtId="164" fontId="1" fillId="75" borderId="0" xfId="10" applyNumberFormat="1" applyFont="1" applyFill="1" applyAlignment="1">
      <alignment horizontal="center"/>
    </xf>
    <xf numFmtId="164" fontId="1" fillId="75" borderId="14" xfId="8" applyNumberFormat="1" applyFont="1" applyFill="1" applyBorder="1" applyAlignment="1">
      <alignment horizontal="center"/>
    </xf>
    <xf numFmtId="164" fontId="3" fillId="75" borderId="15" xfId="8" applyNumberFormat="1" applyFont="1" applyFill="1" applyBorder="1" applyAlignment="1">
      <alignment horizontal="center" wrapText="1"/>
    </xf>
    <xf numFmtId="164" fontId="3" fillId="75" borderId="92" xfId="8" applyNumberFormat="1" applyFont="1" applyFill="1" applyBorder="1" applyAlignment="1">
      <alignment horizontal="center" wrapText="1"/>
    </xf>
    <xf numFmtId="164" fontId="3" fillId="75" borderId="0" xfId="8" applyNumberFormat="1" applyFont="1" applyFill="1" applyBorder="1" applyAlignment="1">
      <alignment horizontal="center" wrapText="1"/>
    </xf>
    <xf numFmtId="164" fontId="3" fillId="75" borderId="0" xfId="8" applyNumberFormat="1" applyFont="1" applyFill="1" applyBorder="1" applyAlignment="1">
      <alignment horizontal="right" wrapText="1"/>
    </xf>
    <xf numFmtId="165" fontId="3" fillId="75" borderId="0" xfId="6" applyNumberFormat="1" applyFont="1" applyFill="1" applyBorder="1" applyAlignment="1">
      <alignment horizontal="right"/>
    </xf>
    <xf numFmtId="164" fontId="1" fillId="75" borderId="20" xfId="8" applyNumberFormat="1" applyFont="1" applyFill="1" applyBorder="1" applyAlignment="1">
      <alignment horizontal="center"/>
    </xf>
    <xf numFmtId="164" fontId="1" fillId="75" borderId="17" xfId="2" applyNumberFormat="1" applyFont="1" applyFill="1" applyBorder="1" applyAlignment="1"/>
    <xf numFmtId="44" fontId="1" fillId="75" borderId="20" xfId="2" applyFont="1" applyFill="1" applyBorder="1" applyAlignment="1"/>
    <xf numFmtId="44" fontId="1" fillId="75" borderId="22" xfId="2" applyFont="1" applyFill="1" applyBorder="1" applyAlignment="1">
      <alignment horizontal="right"/>
    </xf>
    <xf numFmtId="164" fontId="1" fillId="75" borderId="0" xfId="4" applyNumberFormat="1" applyFont="1" applyFill="1" applyBorder="1" applyAlignment="1"/>
    <xf numFmtId="164" fontId="3" fillId="75" borderId="0" xfId="10" applyNumberFormat="1" applyFont="1" applyFill="1" applyAlignment="1">
      <alignment horizontal="right"/>
    </xf>
    <xf numFmtId="165" fontId="1" fillId="75" borderId="20" xfId="6" applyNumberFormat="1" applyFont="1" applyFill="1" applyBorder="1" applyAlignment="1">
      <alignment horizontal="right"/>
    </xf>
    <xf numFmtId="165" fontId="1" fillId="75" borderId="20" xfId="6" quotePrefix="1" applyNumberFormat="1" applyFont="1" applyFill="1" applyBorder="1" applyAlignment="1">
      <alignment horizontal="right"/>
    </xf>
    <xf numFmtId="43" fontId="1" fillId="75" borderId="20" xfId="6" quotePrefix="1" applyNumberFormat="1" applyFont="1" applyFill="1" applyBorder="1" applyAlignment="1">
      <alignment horizontal="right"/>
    </xf>
    <xf numFmtId="43" fontId="1" fillId="75" borderId="22" xfId="6" quotePrefix="1" applyNumberFormat="1" applyFont="1" applyFill="1" applyBorder="1" applyAlignment="1">
      <alignment horizontal="right"/>
    </xf>
    <xf numFmtId="164" fontId="1" fillId="75" borderId="0" xfId="6" applyNumberFormat="1" applyFont="1" applyFill="1" applyBorder="1" applyAlignment="1"/>
    <xf numFmtId="164" fontId="1" fillId="75" borderId="0" xfId="6" applyNumberFormat="1" applyFont="1" applyFill="1" applyBorder="1"/>
    <xf numFmtId="164" fontId="1" fillId="75" borderId="20" xfId="8" quotePrefix="1" applyNumberFormat="1" applyFont="1" applyFill="1" applyBorder="1" applyAlignment="1">
      <alignment horizontal="center"/>
    </xf>
    <xf numFmtId="167" fontId="1" fillId="75" borderId="20" xfId="6" quotePrefix="1" applyNumberFormat="1" applyFont="1" applyFill="1" applyBorder="1" applyAlignment="1">
      <alignment horizontal="right"/>
    </xf>
    <xf numFmtId="167" fontId="1" fillId="75" borderId="22" xfId="6" quotePrefix="1" applyNumberFormat="1" applyFont="1" applyFill="1" applyBorder="1" applyAlignment="1">
      <alignment horizontal="right"/>
    </xf>
    <xf numFmtId="168" fontId="1" fillId="75" borderId="0" xfId="6" applyNumberFormat="1" applyFont="1" applyFill="1" applyBorder="1" applyAlignment="1"/>
    <xf numFmtId="10" fontId="1" fillId="75" borderId="0" xfId="7" applyNumberFormat="1" applyFont="1" applyFill="1" applyBorder="1"/>
    <xf numFmtId="43" fontId="1" fillId="75" borderId="24" xfId="6" quotePrefix="1" applyNumberFormat="1" applyFont="1" applyFill="1" applyBorder="1" applyAlignment="1">
      <alignment horizontal="right"/>
    </xf>
    <xf numFmtId="164" fontId="1" fillId="75" borderId="20" xfId="10" applyNumberFormat="1" applyFont="1" applyFill="1" applyBorder="1" applyAlignment="1">
      <alignment horizontal="center"/>
    </xf>
    <xf numFmtId="164" fontId="1" fillId="75" borderId="26" xfId="2" applyNumberFormat="1" applyFont="1" applyFill="1" applyBorder="1"/>
    <xf numFmtId="44" fontId="1" fillId="75" borderId="20" xfId="2" quotePrefix="1" applyFont="1" applyFill="1" applyBorder="1" applyAlignment="1">
      <alignment horizontal="right"/>
    </xf>
    <xf numFmtId="44" fontId="1" fillId="75" borderId="27" xfId="2" applyFont="1" applyFill="1" applyBorder="1" applyAlignment="1">
      <alignment horizontal="right"/>
    </xf>
    <xf numFmtId="164" fontId="1" fillId="75" borderId="0" xfId="4" applyNumberFormat="1" applyFont="1" applyFill="1" applyBorder="1"/>
    <xf numFmtId="164" fontId="1" fillId="75" borderId="30" xfId="10" applyNumberFormat="1" applyFont="1" applyFill="1" applyBorder="1"/>
    <xf numFmtId="164" fontId="1" fillId="75" borderId="3" xfId="10" applyNumberFormat="1" applyFont="1" applyFill="1" applyBorder="1"/>
    <xf numFmtId="164" fontId="1" fillId="75" borderId="3" xfId="10" applyNumberFormat="1" applyFont="1" applyFill="1" applyBorder="1" applyAlignment="1">
      <alignment horizontal="center"/>
    </xf>
    <xf numFmtId="164" fontId="1" fillId="75" borderId="31" xfId="10" applyNumberFormat="1" applyFont="1" applyFill="1" applyBorder="1"/>
    <xf numFmtId="164" fontId="1" fillId="75" borderId="32" xfId="10" applyNumberFormat="1" applyFont="1" applyFill="1" applyBorder="1"/>
    <xf numFmtId="164" fontId="264" fillId="75" borderId="0" xfId="4310" applyNumberFormat="1" applyFont="1" applyFill="1" applyBorder="1"/>
    <xf numFmtId="164" fontId="264" fillId="75" borderId="0" xfId="4310" applyNumberFormat="1" applyFont="1" applyFill="1"/>
    <xf numFmtId="164" fontId="264" fillId="75" borderId="0" xfId="4310" applyNumberFormat="1" applyFont="1" applyFill="1" applyAlignment="1">
      <alignment horizontal="center"/>
    </xf>
    <xf numFmtId="164" fontId="28" fillId="75" borderId="0" xfId="8" applyNumberFormat="1" applyFont="1" applyFill="1" applyBorder="1" applyAlignment="1">
      <alignment horizontal="center" wrapText="1"/>
    </xf>
    <xf numFmtId="164" fontId="28" fillId="75" borderId="0" xfId="8" applyNumberFormat="1" applyFont="1" applyFill="1" applyBorder="1" applyAlignment="1">
      <alignment horizontal="right" wrapText="1"/>
    </xf>
    <xf numFmtId="165" fontId="8" fillId="75" borderId="0" xfId="4312" applyNumberFormat="1" applyFont="1" applyFill="1" applyBorder="1" applyAlignment="1">
      <alignment horizontal="right"/>
    </xf>
    <xf numFmtId="164" fontId="29" fillId="75" borderId="0" xfId="4311" applyNumberFormat="1" applyFont="1" applyFill="1" applyBorder="1" applyAlignment="1"/>
    <xf numFmtId="164" fontId="8" fillId="75" borderId="0" xfId="4310" applyNumberFormat="1" applyFont="1" applyFill="1" applyAlignment="1">
      <alignment horizontal="right"/>
    </xf>
    <xf numFmtId="164" fontId="29" fillId="75" borderId="0" xfId="4312" applyNumberFormat="1" applyFont="1" applyFill="1" applyBorder="1"/>
    <xf numFmtId="164" fontId="29" fillId="75" borderId="0" xfId="4312" applyNumberFormat="1" applyFont="1" applyFill="1" applyBorder="1" applyAlignment="1"/>
    <xf numFmtId="167" fontId="1" fillId="75" borderId="75" xfId="6" quotePrefix="1" applyNumberFormat="1" applyFont="1" applyFill="1" applyBorder="1" applyAlignment="1">
      <alignment horizontal="right"/>
    </xf>
    <xf numFmtId="168" fontId="29" fillId="75" borderId="0" xfId="4312" applyNumberFormat="1" applyFont="1" applyFill="1" applyBorder="1" applyAlignment="1"/>
    <xf numFmtId="10" fontId="29" fillId="75" borderId="0" xfId="4313" applyNumberFormat="1" applyFont="1" applyFill="1" applyBorder="1"/>
    <xf numFmtId="164" fontId="29" fillId="75" borderId="0" xfId="4311" applyNumberFormat="1" applyFont="1" applyFill="1" applyBorder="1"/>
    <xf numFmtId="164" fontId="38" fillId="75" borderId="0" xfId="3419" applyNumberFormat="1" applyFont="1" applyFill="1" applyBorder="1"/>
    <xf numFmtId="164" fontId="38" fillId="75" borderId="0" xfId="3419" applyNumberFormat="1" applyFont="1" applyFill="1"/>
    <xf numFmtId="164" fontId="40" fillId="75" borderId="0" xfId="3419" applyNumberFormat="1" applyFont="1" applyFill="1" applyAlignment="1">
      <alignment horizontal="center"/>
    </xf>
    <xf numFmtId="164" fontId="40" fillId="75" borderId="0" xfId="3419" applyNumberFormat="1" applyFont="1" applyFill="1"/>
    <xf numFmtId="164" fontId="39" fillId="75" borderId="0" xfId="8" applyNumberFormat="1" applyFont="1" applyFill="1" applyBorder="1" applyAlignment="1">
      <alignment horizontal="center" wrapText="1"/>
    </xf>
    <xf numFmtId="164" fontId="39" fillId="75" borderId="0" xfId="8" applyNumberFormat="1" applyFont="1" applyFill="1" applyBorder="1" applyAlignment="1">
      <alignment horizontal="right" wrapText="1"/>
    </xf>
    <xf numFmtId="165" fontId="41" fillId="75" borderId="0" xfId="6" applyNumberFormat="1" applyFont="1" applyFill="1" applyBorder="1" applyAlignment="1">
      <alignment horizontal="right"/>
    </xf>
    <xf numFmtId="164" fontId="40" fillId="75" borderId="0" xfId="3419" applyNumberFormat="1" applyFont="1" applyFill="1" applyBorder="1"/>
    <xf numFmtId="164" fontId="38" fillId="75" borderId="0" xfId="4" applyNumberFormat="1" applyFont="1" applyFill="1" applyBorder="1" applyAlignment="1"/>
    <xf numFmtId="164" fontId="41" fillId="75" borderId="0" xfId="3419" applyNumberFormat="1" applyFont="1" applyFill="1" applyAlignment="1">
      <alignment horizontal="right"/>
    </xf>
    <xf numFmtId="164" fontId="38" fillId="75" borderId="0" xfId="6" applyNumberFormat="1" applyFont="1" applyFill="1" applyBorder="1"/>
    <xf numFmtId="164" fontId="38" fillId="75" borderId="0" xfId="6" applyNumberFormat="1" applyFont="1" applyFill="1" applyBorder="1" applyAlignment="1"/>
    <xf numFmtId="168" fontId="38" fillId="75" borderId="0" xfId="6" applyNumberFormat="1" applyFont="1" applyFill="1" applyBorder="1" applyAlignment="1"/>
    <xf numFmtId="10" fontId="38" fillId="75" borderId="0" xfId="7" applyNumberFormat="1" applyFont="1" applyFill="1" applyBorder="1"/>
    <xf numFmtId="164" fontId="38" fillId="75" borderId="0" xfId="4" applyNumberFormat="1" applyFont="1" applyFill="1" applyBorder="1"/>
    <xf numFmtId="164" fontId="1" fillId="75" borderId="0" xfId="10" applyNumberFormat="1" applyFont="1" applyFill="1" applyBorder="1" applyAlignment="1">
      <alignment horizontal="center"/>
    </xf>
    <xf numFmtId="0" fontId="1" fillId="75" borderId="12" xfId="8" applyFont="1" applyFill="1" applyBorder="1" applyAlignment="1"/>
    <xf numFmtId="0" fontId="1" fillId="75" borderId="13" xfId="8" applyFont="1" applyFill="1" applyBorder="1" applyAlignment="1"/>
    <xf numFmtId="0" fontId="1" fillId="75" borderId="14" xfId="8" applyFont="1" applyFill="1" applyBorder="1" applyAlignment="1">
      <alignment horizontal="center"/>
    </xf>
    <xf numFmtId="164" fontId="1" fillId="75" borderId="16" xfId="8" applyNumberFormat="1" applyFont="1" applyFill="1" applyBorder="1" applyAlignment="1"/>
    <xf numFmtId="164" fontId="1" fillId="75" borderId="4" xfId="8" applyNumberFormat="1" applyFont="1" applyFill="1" applyBorder="1" applyAlignment="1"/>
    <xf numFmtId="164" fontId="1" fillId="75" borderId="17" xfId="8" applyNumberFormat="1" applyFont="1" applyFill="1" applyBorder="1" applyAlignment="1">
      <alignment horizontal="center"/>
    </xf>
    <xf numFmtId="164" fontId="1" fillId="75" borderId="18" xfId="2" applyNumberFormat="1" applyFont="1" applyFill="1" applyBorder="1" applyAlignment="1"/>
    <xf numFmtId="165" fontId="1" fillId="75" borderId="22" xfId="6" applyNumberFormat="1" applyFont="1" applyFill="1" applyBorder="1" applyAlignment="1"/>
    <xf numFmtId="167" fontId="1" fillId="75" borderId="20" xfId="6" quotePrefix="1" applyNumberFormat="1" applyFont="1" applyFill="1" applyBorder="1" applyAlignment="1"/>
    <xf numFmtId="164" fontId="1" fillId="75" borderId="23" xfId="3419" applyNumberFormat="1" applyFont="1" applyFill="1" applyBorder="1" applyAlignment="1"/>
    <xf numFmtId="164" fontId="1" fillId="75" borderId="1" xfId="3419" applyNumberFormat="1" applyFont="1" applyFill="1" applyBorder="1" applyAlignment="1"/>
    <xf numFmtId="164" fontId="1" fillId="75" borderId="24" xfId="3419" applyNumberFormat="1" applyFont="1" applyFill="1" applyBorder="1" applyAlignment="1">
      <alignment horizontal="center"/>
    </xf>
    <xf numFmtId="164" fontId="1" fillId="75" borderId="27" xfId="2" applyNumberFormat="1" applyFont="1" applyFill="1" applyBorder="1"/>
    <xf numFmtId="164" fontId="1" fillId="75" borderId="28" xfId="3419" applyNumberFormat="1" applyFont="1" applyFill="1" applyBorder="1"/>
    <xf numFmtId="164" fontId="1" fillId="75" borderId="2" xfId="3419" applyNumberFormat="1" applyFont="1" applyFill="1" applyBorder="1"/>
    <xf numFmtId="164" fontId="1" fillId="75" borderId="2" xfId="3419" applyNumberFormat="1" applyFont="1" applyFill="1" applyBorder="1" applyAlignment="1">
      <alignment horizontal="center"/>
    </xf>
    <xf numFmtId="164" fontId="1" fillId="75" borderId="0" xfId="3419" applyNumberFormat="1" applyFont="1" applyFill="1" applyBorder="1"/>
    <xf numFmtId="164" fontId="1" fillId="75" borderId="0" xfId="3419" applyNumberFormat="1" applyFont="1" applyFill="1"/>
    <xf numFmtId="164" fontId="1" fillId="75" borderId="0" xfId="3419" applyNumberFormat="1" applyFont="1" applyFill="1" applyAlignment="1">
      <alignment horizontal="center"/>
    </xf>
    <xf numFmtId="0" fontId="1" fillId="75" borderId="12" xfId="8" applyNumberFormat="1" applyFont="1" applyFill="1" applyBorder="1" applyAlignment="1"/>
    <xf numFmtId="0" fontId="1" fillId="75" borderId="13" xfId="8" applyNumberFormat="1" applyFont="1" applyFill="1" applyBorder="1" applyAlignment="1"/>
    <xf numFmtId="165" fontId="1" fillId="75" borderId="75" xfId="6" applyNumberFormat="1" applyFont="1" applyFill="1" applyBorder="1" applyAlignment="1">
      <alignment horizontal="right"/>
    </xf>
    <xf numFmtId="43" fontId="1" fillId="75" borderId="22" xfId="1" quotePrefix="1" applyFont="1" applyFill="1" applyBorder="1" applyAlignment="1">
      <alignment horizontal="right"/>
    </xf>
    <xf numFmtId="164" fontId="1" fillId="75" borderId="20" xfId="3419" applyNumberFormat="1" applyFont="1" applyFill="1" applyBorder="1" applyAlignment="1">
      <alignment horizontal="center"/>
    </xf>
    <xf numFmtId="164" fontId="1" fillId="75" borderId="30" xfId="3419" applyNumberFormat="1" applyFont="1" applyFill="1" applyBorder="1"/>
    <xf numFmtId="164" fontId="1" fillId="75" borderId="3" xfId="3419" applyNumberFormat="1" applyFont="1" applyFill="1" applyBorder="1"/>
    <xf numFmtId="164" fontId="1" fillId="75" borderId="3" xfId="3419" applyNumberFormat="1" applyFont="1" applyFill="1" applyBorder="1" applyAlignment="1">
      <alignment horizontal="center"/>
    </xf>
    <xf numFmtId="164" fontId="1" fillId="75" borderId="31" xfId="3419" applyNumberFormat="1" applyFont="1" applyFill="1" applyBorder="1"/>
    <xf numFmtId="164" fontId="1" fillId="75" borderId="32" xfId="3419" applyNumberFormat="1" applyFont="1" applyFill="1" applyBorder="1"/>
    <xf numFmtId="0" fontId="1" fillId="75" borderId="0" xfId="11" applyFont="1" applyFill="1"/>
    <xf numFmtId="0" fontId="1" fillId="75" borderId="0" xfId="8" applyFont="1" applyFill="1" applyBorder="1" applyAlignment="1">
      <alignment horizontal="right"/>
    </xf>
    <xf numFmtId="0" fontId="1" fillId="75" borderId="0" xfId="11" applyFont="1" applyFill="1" applyAlignment="1">
      <alignment horizontal="left"/>
    </xf>
    <xf numFmtId="167" fontId="1" fillId="75" borderId="89" xfId="6" quotePrefix="1" applyNumberFormat="1" applyFont="1" applyFill="1" applyBorder="1" applyAlignment="1">
      <alignment horizontal="right"/>
    </xf>
    <xf numFmtId="167" fontId="1" fillId="75" borderId="102" xfId="6" quotePrefix="1" applyNumberFormat="1" applyFont="1" applyFill="1" applyBorder="1" applyAlignment="1">
      <alignment horizontal="right"/>
    </xf>
    <xf numFmtId="164" fontId="1" fillId="75" borderId="24" xfId="10" applyNumberFormat="1" applyFont="1" applyFill="1" applyBorder="1" applyAlignment="1">
      <alignment horizontal="center"/>
    </xf>
    <xf numFmtId="167" fontId="1" fillId="75" borderId="24" xfId="6" quotePrefix="1" applyNumberFormat="1" applyFont="1" applyFill="1" applyBorder="1" applyAlignment="1">
      <alignment horizontal="right"/>
    </xf>
    <xf numFmtId="0" fontId="1" fillId="75" borderId="0" xfId="11" applyFont="1" applyFill="1" applyAlignment="1"/>
    <xf numFmtId="0" fontId="1" fillId="75" borderId="0" xfId="4310" applyFont="1" applyFill="1"/>
    <xf numFmtId="0" fontId="1" fillId="75" borderId="12" xfId="8" applyFont="1" applyFill="1" applyBorder="1"/>
    <xf numFmtId="0" fontId="1" fillId="75" borderId="13" xfId="8" applyFont="1" applyFill="1" applyBorder="1"/>
    <xf numFmtId="0" fontId="3" fillId="75" borderId="91" xfId="8" applyFont="1" applyFill="1" applyBorder="1" applyAlignment="1">
      <alignment horizontal="center" wrapText="1"/>
    </xf>
    <xf numFmtId="164" fontId="1" fillId="75" borderId="16" xfId="8" applyNumberFormat="1" applyFont="1" applyFill="1" applyBorder="1"/>
    <xf numFmtId="164" fontId="1" fillId="75" borderId="4" xfId="8" applyNumberFormat="1" applyFont="1" applyFill="1" applyBorder="1"/>
    <xf numFmtId="164" fontId="1" fillId="75" borderId="93" xfId="2479" applyNumberFormat="1" applyFont="1" applyFill="1" applyBorder="1" applyAlignment="1"/>
    <xf numFmtId="164" fontId="1" fillId="75" borderId="94" xfId="2479" applyNumberFormat="1" applyFont="1" applyFill="1" applyBorder="1" applyAlignment="1"/>
    <xf numFmtId="164" fontId="1" fillId="75" borderId="0" xfId="8" applyNumberFormat="1" applyFont="1" applyFill="1" applyBorder="1"/>
    <xf numFmtId="41" fontId="1" fillId="75" borderId="21" xfId="2479" applyNumberFormat="1" applyFont="1" applyFill="1" applyBorder="1" applyAlignment="1">
      <alignment horizontal="right"/>
    </xf>
    <xf numFmtId="41" fontId="1" fillId="75" borderId="95" xfId="2479" applyNumberFormat="1" applyFont="1" applyFill="1" applyBorder="1" applyAlignment="1">
      <alignment horizontal="right"/>
    </xf>
    <xf numFmtId="0" fontId="1" fillId="75" borderId="20" xfId="8" applyFont="1" applyFill="1" applyBorder="1" applyAlignment="1">
      <alignment horizontal="center"/>
    </xf>
    <xf numFmtId="0" fontId="1" fillId="75" borderId="0" xfId="8" applyFont="1" applyFill="1" applyBorder="1" applyAlignment="1">
      <alignment wrapText="1"/>
    </xf>
    <xf numFmtId="164" fontId="1" fillId="75" borderId="23" xfId="4310" applyNumberFormat="1" applyFont="1" applyFill="1" applyBorder="1"/>
    <xf numFmtId="164" fontId="1" fillId="75" borderId="1" xfId="4310" applyNumberFormat="1" applyFont="1" applyFill="1" applyBorder="1"/>
    <xf numFmtId="164" fontId="1" fillId="75" borderId="24" xfId="4310" applyNumberFormat="1" applyFont="1" applyFill="1" applyBorder="1" applyAlignment="1">
      <alignment horizontal="center"/>
    </xf>
    <xf numFmtId="164" fontId="1" fillId="75" borderId="96" xfId="2479" applyNumberFormat="1" applyFont="1" applyFill="1" applyBorder="1"/>
    <xf numFmtId="164" fontId="1" fillId="75" borderId="97" xfId="2479" applyNumberFormat="1" applyFont="1" applyFill="1" applyBorder="1"/>
    <xf numFmtId="164" fontId="1" fillId="75" borderId="28" xfId="4310" applyNumberFormat="1" applyFont="1" applyFill="1" applyBorder="1"/>
    <xf numFmtId="164" fontId="1" fillId="75" borderId="2" xfId="4310" applyNumberFormat="1" applyFont="1" applyFill="1" applyBorder="1"/>
    <xf numFmtId="164" fontId="1" fillId="75" borderId="2" xfId="4310" applyNumberFormat="1" applyFont="1" applyFill="1" applyBorder="1" applyAlignment="1">
      <alignment horizontal="center"/>
    </xf>
    <xf numFmtId="164" fontId="1" fillId="75" borderId="29" xfId="4310" applyNumberFormat="1" applyFont="1" applyFill="1" applyBorder="1"/>
    <xf numFmtId="164" fontId="1" fillId="75" borderId="0" xfId="4310" applyNumberFormat="1" applyFont="1" applyFill="1" applyBorder="1"/>
    <xf numFmtId="164" fontId="1" fillId="75" borderId="0" xfId="4310" applyNumberFormat="1" applyFont="1" applyFill="1"/>
    <xf numFmtId="164" fontId="1" fillId="75" borderId="0" xfId="4310" applyNumberFormat="1" applyFont="1" applyFill="1" applyAlignment="1">
      <alignment horizontal="center"/>
    </xf>
    <xf numFmtId="0" fontId="1" fillId="75" borderId="12" xfId="8" applyNumberFormat="1" applyFont="1" applyFill="1" applyBorder="1"/>
    <xf numFmtId="164" fontId="1" fillId="75" borderId="13" xfId="8" applyNumberFormat="1" applyFont="1" applyFill="1" applyBorder="1"/>
    <xf numFmtId="164" fontId="3" fillId="75" borderId="91" xfId="8" applyNumberFormat="1" applyFont="1" applyFill="1" applyBorder="1" applyAlignment="1">
      <alignment horizontal="center" wrapText="1"/>
    </xf>
    <xf numFmtId="164" fontId="96" fillId="75" borderId="0" xfId="8" applyNumberFormat="1" applyFont="1" applyFill="1" applyBorder="1" applyAlignment="1">
      <alignment horizontal="right" wrapText="1"/>
    </xf>
    <xf numFmtId="165" fontId="96" fillId="75" borderId="0" xfId="2308" applyNumberFormat="1" applyFont="1" applyFill="1" applyBorder="1" applyAlignment="1">
      <alignment horizontal="right"/>
    </xf>
    <xf numFmtId="164" fontId="1" fillId="75" borderId="21" xfId="2308" applyNumberFormat="1" applyFont="1" applyFill="1" applyBorder="1" applyAlignment="1">
      <alignment horizontal="right"/>
    </xf>
    <xf numFmtId="44" fontId="1" fillId="75" borderId="75" xfId="2479" applyFont="1" applyFill="1" applyBorder="1" applyAlignment="1"/>
    <xf numFmtId="44" fontId="1" fillId="75" borderId="94" xfId="2479" applyFont="1" applyFill="1" applyBorder="1" applyAlignment="1"/>
    <xf numFmtId="164" fontId="1" fillId="75" borderId="0" xfId="2479" applyNumberFormat="1" applyFont="1" applyFill="1" applyBorder="1" applyAlignment="1"/>
    <xf numFmtId="164" fontId="7" fillId="75" borderId="0" xfId="4310" applyNumberFormat="1" applyFont="1" applyFill="1" applyBorder="1" applyAlignment="1">
      <alignment horizontal="right"/>
    </xf>
    <xf numFmtId="41" fontId="1" fillId="75" borderId="21" xfId="2308" applyNumberFormat="1" applyFont="1" applyFill="1" applyBorder="1" applyAlignment="1">
      <alignment horizontal="right"/>
    </xf>
    <xf numFmtId="43" fontId="1" fillId="75" borderId="21" xfId="2308" quotePrefix="1" applyNumberFormat="1" applyFont="1" applyFill="1" applyBorder="1" applyAlignment="1">
      <alignment horizontal="right"/>
    </xf>
    <xf numFmtId="43" fontId="1" fillId="75" borderId="95" xfId="2308" quotePrefix="1" applyNumberFormat="1" applyFont="1" applyFill="1" applyBorder="1" applyAlignment="1">
      <alignment horizontal="right"/>
    </xf>
    <xf numFmtId="222" fontId="1" fillId="75" borderId="0" xfId="2479" applyNumberFormat="1" applyFont="1" applyFill="1" applyBorder="1"/>
    <xf numFmtId="164" fontId="3" fillId="75" borderId="0" xfId="2308" applyNumberFormat="1" applyFont="1" applyFill="1" applyBorder="1" applyAlignment="1"/>
    <xf numFmtId="164" fontId="1" fillId="75" borderId="0" xfId="2308" applyNumberFormat="1" applyFont="1" applyFill="1" applyBorder="1" applyAlignment="1"/>
    <xf numFmtId="164" fontId="1" fillId="75" borderId="19" xfId="4310" applyNumberFormat="1" applyFont="1" applyFill="1" applyBorder="1"/>
    <xf numFmtId="164" fontId="1" fillId="75" borderId="20" xfId="4310" applyNumberFormat="1" applyFont="1" applyFill="1" applyBorder="1" applyAlignment="1">
      <alignment horizontal="center"/>
    </xf>
    <xf numFmtId="44" fontId="1" fillId="75" borderId="25" xfId="2479" quotePrefix="1" applyFont="1" applyFill="1" applyBorder="1" applyAlignment="1">
      <alignment horizontal="right"/>
    </xf>
    <xf numFmtId="44" fontId="1" fillId="75" borderId="97" xfId="2479" quotePrefix="1" applyFont="1" applyFill="1" applyBorder="1" applyAlignment="1">
      <alignment horizontal="right"/>
    </xf>
    <xf numFmtId="164" fontId="1" fillId="75" borderId="30" xfId="4310" applyNumberFormat="1" applyFont="1" applyFill="1" applyBorder="1"/>
    <xf numFmtId="164" fontId="1" fillId="75" borderId="3" xfId="4310" applyNumberFormat="1" applyFont="1" applyFill="1" applyBorder="1"/>
    <xf numFmtId="164" fontId="1" fillId="75" borderId="3" xfId="4310" applyNumberFormat="1" applyFont="1" applyFill="1" applyBorder="1" applyAlignment="1">
      <alignment horizontal="center"/>
    </xf>
    <xf numFmtId="164" fontId="1" fillId="75" borderId="31" xfId="4310" applyNumberFormat="1" applyFont="1" applyFill="1" applyBorder="1"/>
    <xf numFmtId="164" fontId="2" fillId="75" borderId="31" xfId="4310" applyNumberFormat="1" applyFont="1" applyFill="1" applyBorder="1"/>
    <xf numFmtId="164" fontId="2" fillId="75" borderId="32" xfId="4310" applyNumberFormat="1" applyFont="1" applyFill="1" applyBorder="1"/>
    <xf numFmtId="0" fontId="1" fillId="75" borderId="0" xfId="4310" applyFont="1" applyFill="1" applyAlignment="1">
      <alignment horizontal="center"/>
    </xf>
    <xf numFmtId="164" fontId="1" fillId="75" borderId="93" xfId="4311" applyNumberFormat="1" applyFont="1" applyFill="1" applyBorder="1" applyAlignment="1"/>
    <xf numFmtId="164" fontId="1" fillId="75" borderId="94" xfId="4311" applyNumberFormat="1" applyFont="1" applyFill="1" applyBorder="1" applyAlignment="1"/>
    <xf numFmtId="41" fontId="1" fillId="75" borderId="21" xfId="4311" applyNumberFormat="1" applyFont="1" applyFill="1" applyBorder="1" applyAlignment="1">
      <alignment horizontal="right"/>
    </xf>
    <xf numFmtId="41" fontId="1" fillId="75" borderId="95" xfId="4311" applyNumberFormat="1" applyFont="1" applyFill="1" applyBorder="1" applyAlignment="1">
      <alignment horizontal="right"/>
    </xf>
    <xf numFmtId="164" fontId="1" fillId="75" borderId="96" xfId="4311" applyNumberFormat="1" applyFont="1" applyFill="1" applyBorder="1"/>
    <xf numFmtId="164" fontId="1" fillId="75" borderId="97" xfId="4311" applyNumberFormat="1" applyFont="1" applyFill="1" applyBorder="1"/>
    <xf numFmtId="165" fontId="96" fillId="75" borderId="0" xfId="4312" applyNumberFormat="1" applyFont="1" applyFill="1" applyBorder="1" applyAlignment="1">
      <alignment horizontal="right"/>
    </xf>
    <xf numFmtId="164" fontId="1" fillId="75" borderId="21" xfId="4312" applyNumberFormat="1" applyFont="1" applyFill="1" applyBorder="1" applyAlignment="1">
      <alignment horizontal="right"/>
    </xf>
    <xf numFmtId="44" fontId="1" fillId="75" borderId="75" xfId="4311" applyFont="1" applyFill="1" applyBorder="1" applyAlignment="1"/>
    <xf numFmtId="44" fontId="1" fillId="75" borderId="94" xfId="4311" applyFont="1" applyFill="1" applyBorder="1" applyAlignment="1"/>
    <xf numFmtId="164" fontId="1" fillId="75" borderId="0" xfId="4311" applyNumberFormat="1" applyFont="1" applyFill="1" applyBorder="1" applyAlignment="1"/>
    <xf numFmtId="41" fontId="1" fillId="75" borderId="21" xfId="4312" applyNumberFormat="1" applyFont="1" applyFill="1" applyBorder="1" applyAlignment="1">
      <alignment horizontal="right"/>
    </xf>
    <xf numFmtId="43" fontId="1" fillId="75" borderId="21" xfId="4312" quotePrefix="1" applyNumberFormat="1" applyFont="1" applyFill="1" applyBorder="1" applyAlignment="1">
      <alignment horizontal="right"/>
    </xf>
    <xf numFmtId="43" fontId="1" fillId="75" borderId="95" xfId="4312" quotePrefix="1" applyNumberFormat="1" applyFont="1" applyFill="1" applyBorder="1" applyAlignment="1">
      <alignment horizontal="right"/>
    </xf>
    <xf numFmtId="222" fontId="1" fillId="75" borderId="0" xfId="4311" applyNumberFormat="1" applyFont="1" applyFill="1" applyBorder="1"/>
    <xf numFmtId="164" fontId="3" fillId="75" borderId="0" xfId="4312" applyNumberFormat="1" applyFont="1" applyFill="1" applyBorder="1" applyAlignment="1"/>
    <xf numFmtId="164" fontId="1" fillId="75" borderId="0" xfId="4312" applyNumberFormat="1" applyFont="1" applyFill="1" applyBorder="1" applyAlignment="1"/>
    <xf numFmtId="44" fontId="1" fillId="75" borderId="25" xfId="4311" quotePrefix="1" applyFont="1" applyFill="1" applyBorder="1" applyAlignment="1">
      <alignment horizontal="right"/>
    </xf>
    <xf numFmtId="44" fontId="1" fillId="75" borderId="97" xfId="4311" quotePrefix="1" applyFont="1" applyFill="1" applyBorder="1" applyAlignment="1">
      <alignment horizontal="right"/>
    </xf>
    <xf numFmtId="164" fontId="1" fillId="75" borderId="0" xfId="4310" applyNumberFormat="1" applyFont="1" applyFill="1" applyBorder="1" applyAlignment="1">
      <alignment horizontal="center"/>
    </xf>
    <xf numFmtId="164" fontId="2" fillId="75" borderId="0" xfId="4310" applyNumberFormat="1" applyFont="1" applyFill="1" applyBorder="1"/>
    <xf numFmtId="0" fontId="1" fillId="75" borderId="14" xfId="8" applyFont="1" applyFill="1" applyBorder="1" applyAlignment="1"/>
    <xf numFmtId="41" fontId="1" fillId="75" borderId="20" xfId="4" applyNumberFormat="1" applyFont="1" applyFill="1" applyBorder="1" applyAlignment="1">
      <alignment horizontal="right"/>
    </xf>
    <xf numFmtId="41" fontId="1" fillId="75" borderId="22" xfId="4" applyNumberFormat="1" applyFont="1" applyFill="1" applyBorder="1" applyAlignment="1">
      <alignment horizontal="right"/>
    </xf>
    <xf numFmtId="164" fontId="1" fillId="75" borderId="29" xfId="3419" applyNumberFormat="1" applyFont="1" applyFill="1" applyBorder="1"/>
    <xf numFmtId="164" fontId="1" fillId="75" borderId="20" xfId="2" applyNumberFormat="1" applyFont="1" applyFill="1" applyBorder="1" applyAlignment="1">
      <alignment horizontal="right"/>
    </xf>
    <xf numFmtId="44" fontId="1" fillId="75" borderId="18" xfId="2" applyFont="1" applyFill="1" applyBorder="1" applyAlignment="1"/>
    <xf numFmtId="164" fontId="7" fillId="75" borderId="0" xfId="3419" applyNumberFormat="1" applyFont="1" applyFill="1" applyBorder="1" applyAlignment="1">
      <alignment horizontal="right"/>
    </xf>
    <xf numFmtId="41" fontId="1" fillId="75" borderId="20" xfId="6" applyNumberFormat="1" applyFont="1" applyFill="1" applyBorder="1" applyAlignment="1">
      <alignment horizontal="right"/>
    </xf>
    <xf numFmtId="41" fontId="1" fillId="75" borderId="20" xfId="4" quotePrefix="1" applyNumberFormat="1" applyFont="1" applyFill="1" applyBorder="1" applyAlignment="1">
      <alignment horizontal="right"/>
    </xf>
    <xf numFmtId="43" fontId="1" fillId="75" borderId="20" xfId="1" quotePrefix="1" applyNumberFormat="1" applyFont="1" applyFill="1" applyBorder="1" applyAlignment="1">
      <alignment horizontal="right"/>
    </xf>
    <xf numFmtId="43" fontId="1" fillId="75" borderId="22" xfId="1" quotePrefix="1" applyNumberFormat="1" applyFont="1" applyFill="1" applyBorder="1" applyAlignment="1">
      <alignment horizontal="right"/>
    </xf>
    <xf numFmtId="222" fontId="1" fillId="75" borderId="0" xfId="4" applyNumberFormat="1" applyFont="1" applyFill="1" applyBorder="1"/>
    <xf numFmtId="164" fontId="3" fillId="75" borderId="0" xfId="6" applyNumberFormat="1" applyFont="1" applyFill="1" applyBorder="1" applyAlignment="1"/>
    <xf numFmtId="43" fontId="1" fillId="75" borderId="20" xfId="1" applyNumberFormat="1" applyFont="1" applyFill="1" applyBorder="1" applyAlignment="1">
      <alignment horizontal="right"/>
    </xf>
    <xf numFmtId="43" fontId="1" fillId="75" borderId="90" xfId="1" quotePrefix="1" applyNumberFormat="1" applyFont="1" applyFill="1" applyBorder="1" applyAlignment="1">
      <alignment horizontal="right"/>
    </xf>
    <xf numFmtId="44" fontId="1" fillId="75" borderId="26" xfId="2" quotePrefix="1" applyFont="1" applyFill="1" applyBorder="1" applyAlignment="1">
      <alignment horizontal="right"/>
    </xf>
    <xf numFmtId="44" fontId="1" fillId="75" borderId="27" xfId="2" quotePrefix="1" applyFont="1" applyFill="1" applyBorder="1" applyAlignment="1">
      <alignment horizontal="right"/>
    </xf>
    <xf numFmtId="0" fontId="1" fillId="75" borderId="0" xfId="3419" applyFont="1" applyFill="1"/>
    <xf numFmtId="0" fontId="16" fillId="75" borderId="28" xfId="3399" applyFont="1" applyFill="1" applyBorder="1"/>
    <xf numFmtId="0" fontId="16" fillId="75" borderId="2" xfId="3399" applyFont="1" applyFill="1" applyBorder="1"/>
    <xf numFmtId="164" fontId="2" fillId="75" borderId="31" xfId="3419" applyNumberFormat="1" applyFont="1" applyFill="1" applyBorder="1"/>
    <xf numFmtId="164" fontId="2" fillId="75" borderId="32" xfId="3419" applyNumberFormat="1" applyFont="1" applyFill="1" applyBorder="1"/>
    <xf numFmtId="164" fontId="1" fillId="75" borderId="0" xfId="3419" applyNumberFormat="1" applyFont="1" applyFill="1" applyBorder="1" applyAlignment="1">
      <alignment horizontal="center"/>
    </xf>
    <xf numFmtId="164" fontId="2" fillId="75" borderId="0" xfId="3419" applyNumberFormat="1" applyFont="1" applyFill="1" applyBorder="1"/>
    <xf numFmtId="164" fontId="1" fillId="75" borderId="4" xfId="2" applyNumberFormat="1" applyFont="1" applyFill="1" applyBorder="1" applyAlignment="1"/>
    <xf numFmtId="167" fontId="1" fillId="75" borderId="0" xfId="6" quotePrefix="1" applyNumberFormat="1" applyFont="1" applyFill="1" applyBorder="1" applyAlignment="1">
      <alignment horizontal="right"/>
    </xf>
    <xf numFmtId="165" fontId="1" fillId="75" borderId="0" xfId="6" quotePrefix="1" applyNumberFormat="1" applyFont="1" applyFill="1" applyBorder="1" applyAlignment="1">
      <alignment horizontal="right"/>
    </xf>
    <xf numFmtId="0" fontId="1" fillId="75" borderId="20" xfId="4310" quotePrefix="1" applyFont="1" applyFill="1" applyBorder="1" applyAlignment="1">
      <alignment horizontal="center"/>
    </xf>
    <xf numFmtId="164" fontId="3" fillId="75" borderId="0" xfId="3419" applyNumberFormat="1" applyFont="1" applyFill="1" applyAlignment="1">
      <alignment horizontal="right"/>
    </xf>
    <xf numFmtId="164" fontId="40" fillId="75" borderId="30" xfId="3419" applyNumberFormat="1" applyFont="1" applyFill="1" applyBorder="1"/>
    <xf numFmtId="0" fontId="1" fillId="75" borderId="0" xfId="4310" applyFont="1" applyFill="1" applyAlignment="1">
      <alignment horizontal="left"/>
    </xf>
    <xf numFmtId="164" fontId="1" fillId="75" borderId="0" xfId="8" applyNumberFormat="1" applyFont="1" applyFill="1" applyAlignment="1"/>
    <xf numFmtId="0" fontId="1" fillId="75" borderId="0" xfId="4310" applyFont="1" applyFill="1" applyAlignment="1"/>
    <xf numFmtId="164" fontId="1" fillId="75" borderId="93" xfId="2" applyNumberFormat="1" applyFont="1" applyFill="1" applyBorder="1" applyAlignment="1"/>
    <xf numFmtId="165" fontId="1" fillId="75" borderId="75" xfId="6" quotePrefix="1" applyNumberFormat="1" applyFont="1" applyFill="1" applyBorder="1" applyAlignment="1">
      <alignment horizontal="right"/>
    </xf>
    <xf numFmtId="164" fontId="1" fillId="75" borderId="96" xfId="2" applyNumberFormat="1" applyFont="1" applyFill="1" applyBorder="1"/>
    <xf numFmtId="164" fontId="1" fillId="75" borderId="88" xfId="2" applyNumberFormat="1" applyFont="1" applyFill="1" applyBorder="1" applyAlignment="1">
      <alignment horizontal="right"/>
    </xf>
    <xf numFmtId="0" fontId="1" fillId="75" borderId="0" xfId="5" applyFont="1" applyFill="1"/>
    <xf numFmtId="0" fontId="1" fillId="75" borderId="0" xfId="5" applyFont="1" applyFill="1" applyBorder="1"/>
    <xf numFmtId="0" fontId="3" fillId="75" borderId="0" xfId="5" applyFont="1" applyFill="1" applyAlignment="1">
      <alignment horizontal="center"/>
    </xf>
    <xf numFmtId="165" fontId="1" fillId="75" borderId="0" xfId="6" applyNumberFormat="1" applyFont="1" applyFill="1" applyAlignment="1">
      <alignment horizontal="center"/>
    </xf>
    <xf numFmtId="9" fontId="1" fillId="75" borderId="0" xfId="7" applyFont="1" applyFill="1" applyAlignment="1">
      <alignment horizontal="center"/>
    </xf>
    <xf numFmtId="0" fontId="3" fillId="75" borderId="0" xfId="5" applyFont="1" applyFill="1" applyBorder="1" applyAlignment="1">
      <alignment horizontal="center"/>
    </xf>
    <xf numFmtId="165" fontId="3" fillId="75" borderId="0" xfId="6" applyNumberFormat="1" applyFont="1" applyFill="1" applyAlignment="1">
      <alignment horizontal="center"/>
    </xf>
    <xf numFmtId="9" fontId="3" fillId="75" borderId="0" xfId="7" applyFont="1" applyFill="1" applyAlignment="1">
      <alignment horizontal="center"/>
    </xf>
    <xf numFmtId="165" fontId="1" fillId="75" borderId="5" xfId="6" applyNumberFormat="1" applyFont="1" applyFill="1" applyBorder="1" applyAlignment="1">
      <alignment horizontal="center"/>
    </xf>
    <xf numFmtId="165" fontId="1" fillId="75" borderId="0" xfId="1" applyNumberFormat="1" applyFont="1" applyFill="1" applyBorder="1" applyAlignment="1">
      <alignment horizontal="center"/>
    </xf>
    <xf numFmtId="165" fontId="1" fillId="75" borderId="0" xfId="1" applyNumberFormat="1" applyFont="1" applyFill="1" applyBorder="1"/>
    <xf numFmtId="165" fontId="1" fillId="75" borderId="1" xfId="1" applyNumberFormat="1" applyFont="1" applyFill="1" applyBorder="1" applyAlignment="1">
      <alignment horizontal="center"/>
    </xf>
    <xf numFmtId="165" fontId="1" fillId="75" borderId="1" xfId="1" applyNumberFormat="1" applyFont="1" applyFill="1" applyBorder="1"/>
    <xf numFmtId="165" fontId="1" fillId="75" borderId="0" xfId="1" applyNumberFormat="1" applyFont="1" applyFill="1" applyBorder="1" applyAlignment="1">
      <alignment horizontal="right"/>
    </xf>
    <xf numFmtId="0" fontId="3" fillId="75" borderId="0" xfId="5" applyFont="1" applyFill="1" applyBorder="1"/>
    <xf numFmtId="165" fontId="1" fillId="75" borderId="3" xfId="1" applyNumberFormat="1" applyFont="1" applyFill="1" applyBorder="1" applyAlignment="1">
      <alignment horizontal="center"/>
    </xf>
    <xf numFmtId="0" fontId="3" fillId="75" borderId="0" xfId="5" applyFont="1" applyFill="1"/>
    <xf numFmtId="165" fontId="1" fillId="75" borderId="0" xfId="1" applyNumberFormat="1" applyFont="1" applyFill="1" applyAlignment="1">
      <alignment horizontal="center"/>
    </xf>
    <xf numFmtId="165" fontId="1" fillId="75" borderId="0" xfId="1" applyNumberFormat="1" applyFont="1" applyFill="1" applyBorder="1" applyAlignment="1"/>
    <xf numFmtId="165" fontId="1" fillId="75" borderId="1" xfId="1" applyNumberFormat="1" applyFont="1" applyFill="1" applyBorder="1" applyAlignment="1">
      <alignment horizontal="right"/>
    </xf>
    <xf numFmtId="42" fontId="1" fillId="75" borderId="0" xfId="4" applyNumberFormat="1" applyFont="1" applyFill="1" applyBorder="1" applyAlignment="1">
      <alignment horizontal="center"/>
    </xf>
    <xf numFmtId="9" fontId="1" fillId="75" borderId="0" xfId="7" applyFont="1" applyFill="1" applyBorder="1" applyAlignment="1">
      <alignment horizontal="left"/>
    </xf>
    <xf numFmtId="0" fontId="1" fillId="75" borderId="0" xfId="5" applyFont="1" applyFill="1" applyAlignment="1"/>
    <xf numFmtId="0" fontId="268" fillId="75" borderId="0" xfId="5" applyFont="1" applyFill="1" applyBorder="1"/>
    <xf numFmtId="165" fontId="1" fillId="75" borderId="0" xfId="6" applyNumberFormat="1" applyFont="1" applyFill="1" applyBorder="1" applyAlignment="1">
      <alignment horizontal="center"/>
    </xf>
    <xf numFmtId="9" fontId="1" fillId="75" borderId="0" xfId="7" applyFont="1" applyFill="1" applyBorder="1" applyAlignment="1">
      <alignment horizontal="right"/>
    </xf>
    <xf numFmtId="0" fontId="1" fillId="75" borderId="0" xfId="5" applyFont="1" applyFill="1" applyBorder="1" applyAlignment="1">
      <alignment horizontal="center"/>
    </xf>
    <xf numFmtId="165" fontId="3" fillId="75" borderId="0" xfId="6" applyNumberFormat="1" applyFont="1" applyFill="1" applyBorder="1" applyAlignment="1"/>
    <xf numFmtId="165" fontId="1" fillId="75" borderId="0" xfId="1" quotePrefix="1" applyNumberFormat="1" applyFont="1" applyFill="1" applyBorder="1" applyAlignment="1">
      <alignment horizontal="center"/>
    </xf>
    <xf numFmtId="165" fontId="1" fillId="75" borderId="1" xfId="1" quotePrefix="1" applyNumberFormat="1" applyFont="1" applyFill="1" applyBorder="1" applyAlignment="1">
      <alignment horizontal="center"/>
    </xf>
    <xf numFmtId="165" fontId="1" fillId="75" borderId="6" xfId="1" applyNumberFormat="1" applyFont="1" applyFill="1" applyBorder="1" applyAlignment="1">
      <alignment horizontal="center"/>
    </xf>
    <xf numFmtId="0" fontId="266" fillId="75" borderId="0" xfId="0" applyFont="1" applyFill="1" applyBorder="1"/>
    <xf numFmtId="0" fontId="1" fillId="75" borderId="0" xfId="5" applyFont="1" applyFill="1" applyBorder="1" applyAlignment="1"/>
    <xf numFmtId="0" fontId="269" fillId="75" borderId="0" xfId="5" applyFont="1" applyFill="1" applyBorder="1"/>
    <xf numFmtId="0" fontId="7" fillId="75" borderId="0" xfId="5" applyFont="1" applyFill="1" applyAlignment="1"/>
    <xf numFmtId="9" fontId="1" fillId="75" borderId="5" xfId="7" applyFont="1" applyFill="1" applyBorder="1" applyAlignment="1">
      <alignment horizontal="center"/>
    </xf>
    <xf numFmtId="9" fontId="1" fillId="75" borderId="0" xfId="5" applyNumberFormat="1" applyFont="1" applyFill="1" applyBorder="1" applyAlignment="1"/>
    <xf numFmtId="42" fontId="1" fillId="75" borderId="0" xfId="6" applyNumberFormat="1" applyFont="1" applyFill="1" applyBorder="1" applyAlignment="1">
      <alignment horizontal="center"/>
    </xf>
    <xf numFmtId="165" fontId="1" fillId="75" borderId="0" xfId="6" applyNumberFormat="1" applyFont="1" applyFill="1" applyBorder="1" applyAlignment="1"/>
    <xf numFmtId="165" fontId="1" fillId="75" borderId="1" xfId="6" applyNumberFormat="1" applyFont="1" applyFill="1" applyBorder="1" applyAlignment="1">
      <alignment horizontal="center"/>
    </xf>
    <xf numFmtId="165" fontId="1" fillId="75" borderId="1" xfId="6" applyNumberFormat="1" applyFont="1" applyFill="1" applyBorder="1" applyAlignment="1"/>
    <xf numFmtId="165" fontId="1" fillId="75" borderId="6" xfId="6" applyNumberFormat="1" applyFont="1" applyFill="1" applyBorder="1" applyAlignment="1">
      <alignment horizontal="center"/>
    </xf>
    <xf numFmtId="41" fontId="1" fillId="75" borderId="0" xfId="6" applyNumberFormat="1" applyFont="1" applyFill="1" applyAlignment="1">
      <alignment horizontal="center"/>
    </xf>
    <xf numFmtId="41" fontId="1" fillId="75" borderId="0" xfId="7" applyNumberFormat="1" applyFont="1" applyFill="1" applyBorder="1" applyAlignment="1">
      <alignment horizontal="center"/>
    </xf>
    <xf numFmtId="41" fontId="1" fillId="75" borderId="0" xfId="5" applyNumberFormat="1" applyFont="1" applyFill="1" applyBorder="1"/>
    <xf numFmtId="41" fontId="1" fillId="75" borderId="0" xfId="5" applyNumberFormat="1" applyFont="1" applyFill="1" applyBorder="1" applyAlignment="1"/>
    <xf numFmtId="41" fontId="1" fillId="75" borderId="0" xfId="6" applyNumberFormat="1" applyFont="1" applyFill="1" applyBorder="1" applyAlignment="1">
      <alignment horizontal="center"/>
    </xf>
    <xf numFmtId="41" fontId="1" fillId="75" borderId="6" xfId="6" applyNumberFormat="1" applyFont="1" applyFill="1" applyBorder="1" applyAlignment="1">
      <alignment horizontal="center"/>
    </xf>
    <xf numFmtId="41" fontId="1" fillId="75" borderId="1" xfId="6" applyNumberFormat="1" applyFont="1" applyFill="1" applyBorder="1" applyAlignment="1">
      <alignment horizontal="center"/>
    </xf>
    <xf numFmtId="41" fontId="1" fillId="75" borderId="0" xfId="7" applyNumberFormat="1" applyFont="1" applyFill="1" applyBorder="1" applyAlignment="1">
      <alignment horizontal="right"/>
    </xf>
    <xf numFmtId="1" fontId="1" fillId="75" borderId="0" xfId="7" applyNumberFormat="1" applyFont="1" applyFill="1" applyBorder="1" applyAlignment="1"/>
    <xf numFmtId="1" fontId="1" fillId="75" borderId="1" xfId="7" applyNumberFormat="1" applyFont="1" applyFill="1" applyBorder="1" applyAlignment="1"/>
    <xf numFmtId="9" fontId="1" fillId="75" borderId="0" xfId="7" applyFont="1" applyFill="1" applyBorder="1" applyAlignment="1">
      <alignment horizontal="center"/>
    </xf>
    <xf numFmtId="0" fontId="267" fillId="75" borderId="0" xfId="0" applyNumberFormat="1" applyFont="1" applyFill="1" applyBorder="1" applyAlignment="1">
      <alignment horizontal="left"/>
    </xf>
    <xf numFmtId="165" fontId="267" fillId="75" borderId="0" xfId="1" applyNumberFormat="1" applyFont="1" applyFill="1" applyBorder="1" applyAlignment="1"/>
    <xf numFmtId="0" fontId="267" fillId="75" borderId="0" xfId="0" applyNumberFormat="1" applyFont="1" applyFill="1" applyBorder="1" applyAlignment="1">
      <alignment horizontal="right"/>
    </xf>
    <xf numFmtId="165" fontId="267" fillId="75" borderId="0" xfId="1" applyNumberFormat="1" applyFont="1" applyFill="1" applyBorder="1" applyAlignment="1">
      <alignment horizontal="right"/>
    </xf>
    <xf numFmtId="165" fontId="267" fillId="75" borderId="6" xfId="1" applyNumberFormat="1" applyFont="1" applyFill="1" applyBorder="1" applyAlignment="1">
      <alignment horizontal="left"/>
    </xf>
    <xf numFmtId="165" fontId="267" fillId="75" borderId="0" xfId="1" applyNumberFormat="1" applyFont="1" applyFill="1" applyBorder="1" applyAlignment="1">
      <alignment horizontal="left"/>
    </xf>
    <xf numFmtId="165" fontId="267" fillId="75" borderId="1" xfId="1" applyNumberFormat="1" applyFont="1" applyFill="1" applyBorder="1" applyAlignment="1"/>
    <xf numFmtId="165" fontId="267" fillId="75" borderId="1" xfId="1" applyNumberFormat="1" applyFont="1" applyFill="1" applyBorder="1" applyAlignment="1">
      <alignment horizontal="right"/>
    </xf>
    <xf numFmtId="0" fontId="267" fillId="75" borderId="0" xfId="0" applyFont="1" applyFill="1" applyAlignment="1"/>
    <xf numFmtId="0" fontId="266" fillId="75" borderId="0" xfId="0" applyFont="1" applyFill="1" applyAlignment="1"/>
    <xf numFmtId="0" fontId="266" fillId="75" borderId="0" xfId="0" applyFont="1" applyFill="1" applyAlignment="1">
      <alignment horizontal="left"/>
    </xf>
    <xf numFmtId="0" fontId="267" fillId="75" borderId="5" xfId="0" applyFont="1" applyFill="1" applyBorder="1" applyAlignment="1">
      <alignment wrapText="1"/>
    </xf>
    <xf numFmtId="0" fontId="267" fillId="75" borderId="0" xfId="0" applyFont="1" applyFill="1" applyAlignment="1">
      <alignment horizontal="left"/>
    </xf>
    <xf numFmtId="0" fontId="267" fillId="75" borderId="0" xfId="0" applyFont="1" applyFill="1" applyAlignment="1">
      <alignment horizontal="right"/>
    </xf>
    <xf numFmtId="0" fontId="267" fillId="75" borderId="0" xfId="0" applyFont="1" applyFill="1" applyAlignment="1">
      <alignment horizontal="left" indent="1"/>
    </xf>
    <xf numFmtId="165" fontId="1" fillId="75" borderId="3" xfId="6" applyNumberFormat="1" applyFont="1" applyFill="1" applyBorder="1" applyAlignment="1">
      <alignment horizontal="center"/>
    </xf>
    <xf numFmtId="164" fontId="1" fillId="75" borderId="3" xfId="4" applyNumberFormat="1" applyFont="1" applyFill="1" applyBorder="1" applyAlignment="1">
      <alignment horizontal="center"/>
    </xf>
    <xf numFmtId="164" fontId="267" fillId="75" borderId="3" xfId="2" applyNumberFormat="1" applyFont="1" applyFill="1" applyBorder="1" applyAlignment="1">
      <alignment horizontal="left"/>
    </xf>
    <xf numFmtId="164" fontId="1" fillId="75" borderId="0" xfId="4" applyNumberFormat="1" applyFont="1" applyFill="1" applyBorder="1" applyAlignment="1">
      <alignment horizontal="center"/>
    </xf>
    <xf numFmtId="165" fontId="267" fillId="75" borderId="0" xfId="1" applyNumberFormat="1" applyFont="1" applyFill="1" applyAlignment="1">
      <alignment horizontal="right" wrapText="1"/>
    </xf>
    <xf numFmtId="165" fontId="267" fillId="75" borderId="0" xfId="1" applyNumberFormat="1" applyFont="1" applyFill="1" applyBorder="1" applyAlignment="1">
      <alignment horizontal="right" wrapText="1"/>
    </xf>
    <xf numFmtId="165" fontId="267" fillId="75" borderId="6" xfId="1" applyNumberFormat="1" applyFont="1" applyFill="1" applyBorder="1" applyAlignment="1">
      <alignment horizontal="right" wrapText="1"/>
    </xf>
    <xf numFmtId="0" fontId="267" fillId="75" borderId="5" xfId="0" applyFont="1" applyFill="1" applyBorder="1" applyAlignment="1">
      <alignment horizontal="right"/>
    </xf>
    <xf numFmtId="165" fontId="267" fillId="75" borderId="0" xfId="1" applyNumberFormat="1" applyFont="1" applyFill="1" applyAlignment="1"/>
    <xf numFmtId="0" fontId="1" fillId="75" borderId="0" xfId="5" applyFont="1" applyFill="1" applyBorder="1" applyAlignment="1">
      <alignment horizontal="right"/>
    </xf>
    <xf numFmtId="0" fontId="265" fillId="2" borderId="0" xfId="0" applyFont="1" applyFill="1" applyAlignment="1">
      <alignment horizontal="right"/>
    </xf>
    <xf numFmtId="165" fontId="1" fillId="75" borderId="1" xfId="1" applyNumberFormat="1" applyFont="1" applyFill="1" applyBorder="1" applyAlignment="1"/>
    <xf numFmtId="41" fontId="1" fillId="75" borderId="1" xfId="7" applyNumberFormat="1" applyFont="1" applyFill="1" applyBorder="1" applyAlignment="1">
      <alignment horizontal="right"/>
    </xf>
    <xf numFmtId="0" fontId="0" fillId="0" borderId="0" xfId="0" applyFill="1"/>
    <xf numFmtId="0" fontId="22" fillId="0" borderId="0" xfId="0" applyFont="1" applyFill="1"/>
    <xf numFmtId="0" fontId="3" fillId="0" borderId="0" xfId="0" applyFont="1" applyFill="1" applyBorder="1" applyAlignment="1">
      <alignment horizontal="center"/>
    </xf>
    <xf numFmtId="0" fontId="3" fillId="0" borderId="1" xfId="0" applyFont="1" applyFill="1" applyBorder="1" applyAlignment="1">
      <alignment horizontal="center"/>
    </xf>
    <xf numFmtId="42" fontId="3" fillId="0" borderId="0" xfId="3" applyNumberFormat="1" applyFont="1" applyFill="1" applyBorder="1" applyAlignment="1"/>
    <xf numFmtId="41" fontId="1" fillId="0" borderId="0" xfId="3" applyNumberFormat="1" applyFont="1" applyFill="1" applyBorder="1" applyAlignment="1"/>
    <xf numFmtId="41" fontId="1" fillId="0" borderId="0" xfId="1" applyNumberFormat="1" applyFont="1" applyFill="1" applyBorder="1" applyAlignment="1"/>
    <xf numFmtId="41" fontId="5" fillId="0" borderId="0" xfId="1" applyNumberFormat="1" applyFont="1" applyFill="1" applyBorder="1" applyAlignment="1"/>
    <xf numFmtId="41" fontId="3" fillId="0" borderId="0" xfId="1" applyNumberFormat="1" applyFont="1" applyFill="1" applyBorder="1" applyAlignment="1"/>
    <xf numFmtId="42" fontId="6" fillId="0" borderId="0" xfId="0" applyNumberFormat="1" applyFont="1" applyFill="1" applyBorder="1" applyAlignment="1"/>
    <xf numFmtId="44" fontId="3" fillId="0" borderId="0" xfId="2" applyFont="1" applyFill="1" applyBorder="1"/>
    <xf numFmtId="44" fontId="17" fillId="0" borderId="0" xfId="0" applyNumberFormat="1" applyFont="1" applyFill="1"/>
    <xf numFmtId="44" fontId="3" fillId="0" borderId="0" xfId="0" applyNumberFormat="1" applyFont="1" applyFill="1"/>
    <xf numFmtId="0" fontId="273" fillId="0" borderId="0" xfId="0" applyFont="1" applyFill="1"/>
    <xf numFmtId="44" fontId="0" fillId="0" borderId="0" xfId="0" applyNumberFormat="1" applyFill="1"/>
    <xf numFmtId="44" fontId="279" fillId="0" borderId="0" xfId="0" applyNumberFormat="1" applyFont="1" applyFill="1"/>
    <xf numFmtId="165" fontId="16" fillId="0" borderId="0" xfId="1" applyNumberFormat="1" applyFont="1" applyFill="1"/>
    <xf numFmtId="0" fontId="16" fillId="0" borderId="0" xfId="0" applyFont="1" applyFill="1"/>
    <xf numFmtId="0" fontId="23" fillId="0" borderId="0" xfId="0" applyFont="1" applyFill="1"/>
    <xf numFmtId="0" fontId="1" fillId="0" borderId="0" xfId="0" applyFont="1" applyFill="1"/>
    <xf numFmtId="166" fontId="1" fillId="0" borderId="0" xfId="3" applyNumberFormat="1" applyFont="1" applyFill="1" applyBorder="1" applyAlignment="1"/>
    <xf numFmtId="166" fontId="1" fillId="0" borderId="0" xfId="3" applyNumberFormat="1" applyFont="1" applyFill="1" applyBorder="1" applyAlignment="1">
      <alignment horizontal="right"/>
    </xf>
    <xf numFmtId="166" fontId="5" fillId="0" borderId="0" xfId="3" applyNumberFormat="1" applyFont="1" applyFill="1" applyBorder="1" applyAlignment="1"/>
    <xf numFmtId="166" fontId="3" fillId="0" borderId="0" xfId="3" applyNumberFormat="1" applyFont="1" applyFill="1" applyBorder="1" applyAlignment="1"/>
    <xf numFmtId="166" fontId="6" fillId="0" borderId="0" xfId="3" applyNumberFormat="1" applyFont="1" applyFill="1" applyBorder="1" applyAlignment="1"/>
    <xf numFmtId="0" fontId="25" fillId="0" borderId="0" xfId="0" applyFont="1" applyFill="1"/>
    <xf numFmtId="41" fontId="1" fillId="0" borderId="0" xfId="0" applyNumberFormat="1" applyFont="1" applyFill="1" applyBorder="1"/>
    <xf numFmtId="0" fontId="1" fillId="0" borderId="0" xfId="5" applyFont="1" applyFill="1"/>
    <xf numFmtId="0" fontId="1" fillId="0" borderId="0" xfId="5" applyFont="1" applyFill="1" applyBorder="1"/>
    <xf numFmtId="0" fontId="3" fillId="0" borderId="0" xfId="5" applyFont="1" applyFill="1" applyAlignment="1">
      <alignment horizontal="center"/>
    </xf>
    <xf numFmtId="9" fontId="1" fillId="0" borderId="0" xfId="7" applyFont="1" applyFill="1" applyAlignment="1">
      <alignment horizontal="center"/>
    </xf>
    <xf numFmtId="0" fontId="3" fillId="0" borderId="0" xfId="5" applyFont="1" applyFill="1" applyBorder="1" applyAlignment="1">
      <alignment horizontal="center"/>
    </xf>
    <xf numFmtId="9" fontId="3" fillId="0" borderId="0" xfId="7" applyFont="1" applyFill="1" applyAlignment="1">
      <alignment horizontal="center"/>
    </xf>
    <xf numFmtId="165" fontId="1" fillId="0" borderId="5" xfId="6" applyNumberFormat="1" applyFont="1" applyFill="1" applyBorder="1" applyAlignment="1">
      <alignment horizontal="center"/>
    </xf>
    <xf numFmtId="165" fontId="1" fillId="0" borderId="0" xfId="1" applyNumberFormat="1" applyFont="1" applyFill="1" applyBorder="1" applyAlignment="1">
      <alignment horizontal="left"/>
    </xf>
    <xf numFmtId="165" fontId="1" fillId="0" borderId="0" xfId="1" applyNumberFormat="1" applyFont="1" applyFill="1" applyBorder="1"/>
    <xf numFmtId="165" fontId="1" fillId="0" borderId="0" xfId="1" applyNumberFormat="1" applyFont="1" applyFill="1" applyBorder="1" applyAlignment="1">
      <alignment horizontal="center"/>
    </xf>
    <xf numFmtId="165" fontId="1" fillId="0" borderId="1" xfId="1" applyNumberFormat="1" applyFont="1" applyFill="1" applyBorder="1" applyAlignment="1">
      <alignment horizontal="center"/>
    </xf>
    <xf numFmtId="165" fontId="1" fillId="0" borderId="1" xfId="1" applyNumberFormat="1" applyFont="1" applyFill="1" applyBorder="1"/>
    <xf numFmtId="165" fontId="1" fillId="0" borderId="3" xfId="1" applyNumberFormat="1" applyFont="1" applyFill="1" applyBorder="1" applyAlignment="1">
      <alignment horizontal="center"/>
    </xf>
    <xf numFmtId="165" fontId="1" fillId="0" borderId="0" xfId="1" applyNumberFormat="1" applyFont="1" applyFill="1" applyAlignment="1">
      <alignment horizontal="center"/>
    </xf>
    <xf numFmtId="165" fontId="1" fillId="0" borderId="0" xfId="1" applyNumberFormat="1" applyFont="1" applyFill="1" applyBorder="1" applyAlignment="1"/>
    <xf numFmtId="165" fontId="1" fillId="0" borderId="0" xfId="7" applyNumberFormat="1" applyFont="1" applyFill="1" applyBorder="1" applyAlignment="1">
      <alignment horizontal="left"/>
    </xf>
    <xf numFmtId="9" fontId="1" fillId="0" borderId="0" xfId="3" applyFont="1" applyFill="1" applyBorder="1"/>
    <xf numFmtId="9" fontId="3" fillId="0" borderId="0" xfId="3" applyFont="1" applyFill="1" applyBorder="1"/>
    <xf numFmtId="0" fontId="1" fillId="0" borderId="0" xfId="5" applyFont="1" applyFill="1" applyBorder="1" applyAlignment="1">
      <alignment horizontal="right"/>
    </xf>
    <xf numFmtId="165" fontId="1" fillId="0" borderId="0" xfId="6" applyNumberFormat="1" applyFont="1" applyFill="1" applyBorder="1" applyAlignment="1">
      <alignment horizontal="center"/>
    </xf>
    <xf numFmtId="165" fontId="1" fillId="0" borderId="0" xfId="5" applyNumberFormat="1" applyFont="1" applyFill="1" applyBorder="1"/>
    <xf numFmtId="0" fontId="3" fillId="75" borderId="0" xfId="5" applyFont="1" applyFill="1" applyAlignment="1">
      <alignment horizontal="center"/>
    </xf>
    <xf numFmtId="0" fontId="4" fillId="75" borderId="0" xfId="5" applyFont="1" applyFill="1" applyBorder="1"/>
    <xf numFmtId="0" fontId="4" fillId="75" borderId="0" xfId="5" applyFont="1" applyFill="1" applyBorder="1" applyAlignment="1"/>
    <xf numFmtId="0" fontId="136" fillId="75" borderId="0" xfId="5" applyFont="1" applyFill="1" applyBorder="1"/>
    <xf numFmtId="0" fontId="4" fillId="75" borderId="0" xfId="5" applyFont="1" applyFill="1"/>
    <xf numFmtId="0" fontId="280" fillId="2" borderId="0" xfId="0" applyFont="1" applyFill="1"/>
    <xf numFmtId="164" fontId="3" fillId="0" borderId="15" xfId="8" applyNumberFormat="1" applyFont="1" applyFill="1" applyBorder="1" applyAlignment="1">
      <alignment horizontal="center" wrapText="1"/>
    </xf>
    <xf numFmtId="164" fontId="3" fillId="0" borderId="92" xfId="8" applyNumberFormat="1" applyFont="1" applyFill="1" applyBorder="1" applyAlignment="1">
      <alignment horizontal="center" wrapText="1"/>
    </xf>
    <xf numFmtId="44" fontId="1" fillId="0" borderId="93" xfId="2" applyFont="1" applyFill="1" applyBorder="1" applyAlignment="1"/>
    <xf numFmtId="44" fontId="1" fillId="0" borderId="22" xfId="2" applyFont="1" applyFill="1" applyBorder="1" applyAlignment="1">
      <alignment horizontal="right"/>
    </xf>
    <xf numFmtId="43" fontId="1" fillId="0" borderId="75" xfId="6" quotePrefix="1" applyNumberFormat="1" applyFont="1" applyFill="1" applyBorder="1" applyAlignment="1">
      <alignment horizontal="right"/>
    </xf>
    <xf numFmtId="43" fontId="1" fillId="0" borderId="22" xfId="6" quotePrefix="1" applyNumberFormat="1" applyFont="1" applyFill="1" applyBorder="1" applyAlignment="1">
      <alignment horizontal="right"/>
    </xf>
    <xf numFmtId="167" fontId="1" fillId="0" borderId="75" xfId="6" quotePrefix="1" applyNumberFormat="1" applyFont="1" applyFill="1" applyBorder="1" applyAlignment="1">
      <alignment horizontal="right"/>
    </xf>
    <xf numFmtId="167" fontId="1" fillId="0" borderId="22" xfId="6" quotePrefix="1" applyNumberFormat="1" applyFont="1" applyFill="1" applyBorder="1" applyAlignment="1">
      <alignment horizontal="right"/>
    </xf>
    <xf numFmtId="167" fontId="1" fillId="0" borderId="107" xfId="6" quotePrefix="1" applyNumberFormat="1" applyFont="1" applyFill="1" applyBorder="1" applyAlignment="1">
      <alignment horizontal="right"/>
    </xf>
    <xf numFmtId="44" fontId="1" fillId="0" borderId="20" xfId="2" quotePrefix="1" applyFont="1" applyFill="1" applyBorder="1" applyAlignment="1">
      <alignment horizontal="right"/>
    </xf>
    <xf numFmtId="44" fontId="1" fillId="0" borderId="27" xfId="2" applyFont="1" applyFill="1" applyBorder="1" applyAlignment="1">
      <alignment horizontal="right"/>
    </xf>
    <xf numFmtId="0" fontId="3" fillId="2" borderId="0" xfId="0" applyFont="1" applyFill="1" applyAlignment="1">
      <alignment horizontal="center"/>
    </xf>
    <xf numFmtId="0" fontId="15" fillId="75" borderId="0" xfId="0" applyFont="1" applyFill="1" applyAlignment="1">
      <alignment horizontal="center"/>
    </xf>
    <xf numFmtId="41" fontId="1" fillId="2" borderId="0" xfId="1" applyNumberFormat="1" applyFont="1" applyFill="1" applyBorder="1" applyAlignment="1">
      <alignment horizontal="right"/>
    </xf>
    <xf numFmtId="0" fontId="22" fillId="75" borderId="0" xfId="0" applyFont="1" applyFill="1"/>
    <xf numFmtId="0" fontId="23" fillId="75" borderId="0" xfId="0" applyFont="1" applyFill="1"/>
    <xf numFmtId="0" fontId="23" fillId="2" borderId="0" xfId="0" applyFont="1" applyFill="1"/>
    <xf numFmtId="9" fontId="1" fillId="0" borderId="5" xfId="7" applyFont="1" applyFill="1" applyBorder="1" applyAlignment="1">
      <alignment horizontal="center"/>
    </xf>
    <xf numFmtId="165" fontId="1" fillId="0" borderId="0" xfId="6" applyNumberFormat="1" applyFont="1" applyFill="1" applyBorder="1" applyAlignment="1"/>
    <xf numFmtId="42" fontId="1" fillId="0" borderId="0" xfId="6" applyNumberFormat="1" applyFont="1" applyFill="1" applyBorder="1" applyAlignment="1">
      <alignment horizontal="center"/>
    </xf>
    <xf numFmtId="165" fontId="1" fillId="0" borderId="1" xfId="6" applyNumberFormat="1" applyFont="1" applyFill="1" applyBorder="1" applyAlignment="1"/>
    <xf numFmtId="165" fontId="1" fillId="0" borderId="1" xfId="6" applyNumberFormat="1" applyFont="1" applyFill="1" applyBorder="1" applyAlignment="1">
      <alignment horizontal="center"/>
    </xf>
    <xf numFmtId="165" fontId="1" fillId="0" borderId="6" xfId="6" applyNumberFormat="1" applyFont="1" applyFill="1" applyBorder="1" applyAlignment="1">
      <alignment horizontal="center"/>
    </xf>
    <xf numFmtId="9" fontId="1" fillId="0" borderId="0" xfId="7" applyFont="1" applyFill="1" applyBorder="1" applyAlignment="1">
      <alignment horizontal="right"/>
    </xf>
    <xf numFmtId="165" fontId="1" fillId="0" borderId="3" xfId="6" applyNumberFormat="1" applyFont="1" applyFill="1" applyBorder="1" applyAlignment="1">
      <alignment horizontal="center"/>
    </xf>
    <xf numFmtId="41" fontId="1" fillId="0" borderId="0" xfId="7" applyNumberFormat="1" applyFont="1" applyFill="1" applyBorder="1" applyAlignment="1">
      <alignment horizontal="center"/>
    </xf>
    <xf numFmtId="41" fontId="1" fillId="0" borderId="0" xfId="6" applyNumberFormat="1" applyFont="1" applyFill="1" applyAlignment="1">
      <alignment horizontal="center"/>
    </xf>
    <xf numFmtId="41" fontId="1" fillId="0" borderId="0" xfId="5" applyNumberFormat="1" applyFont="1" applyFill="1" applyBorder="1"/>
    <xf numFmtId="41" fontId="1" fillId="0" borderId="0" xfId="5" applyNumberFormat="1" applyFont="1" applyFill="1" applyBorder="1" applyAlignment="1"/>
    <xf numFmtId="41" fontId="1" fillId="0" borderId="0" xfId="6" applyNumberFormat="1" applyFont="1" applyFill="1" applyBorder="1" applyAlignment="1">
      <alignment horizontal="center"/>
    </xf>
    <xf numFmtId="41" fontId="1" fillId="0" borderId="6" xfId="6" applyNumberFormat="1" applyFont="1" applyFill="1" applyBorder="1" applyAlignment="1">
      <alignment horizontal="center"/>
    </xf>
    <xf numFmtId="41" fontId="1" fillId="0" borderId="1" xfId="6" applyNumberFormat="1" applyFont="1" applyFill="1" applyBorder="1" applyAlignment="1">
      <alignment horizontal="center"/>
    </xf>
    <xf numFmtId="41" fontId="1" fillId="0" borderId="0" xfId="7" applyNumberFormat="1" applyFont="1" applyFill="1" applyBorder="1" applyAlignment="1">
      <alignment horizontal="right"/>
    </xf>
    <xf numFmtId="41" fontId="1" fillId="0" borderId="1" xfId="7" applyNumberFormat="1" applyFont="1" applyFill="1" applyBorder="1" applyAlignment="1">
      <alignment horizontal="right"/>
    </xf>
    <xf numFmtId="1" fontId="1" fillId="0" borderId="0" xfId="7" applyNumberFormat="1" applyFont="1" applyFill="1" applyBorder="1" applyAlignment="1"/>
    <xf numFmtId="1" fontId="1" fillId="0" borderId="1" xfId="7" applyNumberFormat="1" applyFont="1" applyFill="1" applyBorder="1" applyAlignment="1"/>
    <xf numFmtId="165" fontId="1" fillId="0" borderId="0" xfId="6" applyNumberFormat="1" applyFont="1" applyFill="1" applyAlignment="1">
      <alignment horizontal="center"/>
    </xf>
    <xf numFmtId="164" fontId="1" fillId="0" borderId="3" xfId="4" applyNumberFormat="1" applyFont="1" applyFill="1" applyBorder="1" applyAlignment="1">
      <alignment horizontal="center"/>
    </xf>
    <xf numFmtId="0" fontId="1" fillId="0" borderId="0" xfId="0" applyFont="1" applyFill="1" applyBorder="1"/>
    <xf numFmtId="0" fontId="1" fillId="0" borderId="0" xfId="0" applyFont="1" applyFill="1" applyBorder="1" applyAlignment="1"/>
    <xf numFmtId="0" fontId="3" fillId="0" borderId="0" xfId="0" applyFont="1" applyFill="1" applyBorder="1" applyAlignment="1"/>
    <xf numFmtId="0" fontId="1" fillId="0" borderId="0" xfId="0" applyNumberFormat="1" applyFont="1" applyFill="1" applyBorder="1" applyAlignment="1"/>
    <xf numFmtId="0" fontId="23" fillId="0" borderId="0" xfId="0" applyNumberFormat="1" applyFont="1" applyFill="1" applyBorder="1" applyAlignment="1"/>
    <xf numFmtId="0" fontId="3" fillId="0" borderId="0" xfId="0" applyFont="1" applyFill="1" applyBorder="1"/>
    <xf numFmtId="0" fontId="7" fillId="0" borderId="0" xfId="0" applyFont="1" applyFill="1" applyBorder="1"/>
    <xf numFmtId="43" fontId="3" fillId="0" borderId="0" xfId="0" applyNumberFormat="1" applyFont="1" applyFill="1" applyBorder="1" applyAlignment="1">
      <alignment horizontal="center"/>
    </xf>
    <xf numFmtId="5" fontId="1" fillId="0" borderId="0" xfId="0" applyNumberFormat="1" applyFont="1" applyFill="1" applyBorder="1"/>
    <xf numFmtId="41" fontId="1" fillId="0" borderId="1" xfId="0" applyNumberFormat="1" applyFont="1" applyFill="1" applyBorder="1"/>
    <xf numFmtId="5" fontId="3" fillId="0" borderId="0" xfId="0" applyNumberFormat="1" applyFont="1" applyFill="1" applyBorder="1"/>
    <xf numFmtId="5" fontId="3" fillId="0" borderId="3" xfId="0" applyNumberFormat="1" applyFont="1" applyFill="1" applyBorder="1"/>
    <xf numFmtId="41" fontId="3" fillId="0" borderId="0" xfId="0" applyNumberFormat="1" applyFont="1" applyFill="1" applyBorder="1"/>
    <xf numFmtId="37" fontId="3" fillId="0" borderId="4" xfId="0" applyNumberFormat="1" applyFont="1" applyFill="1" applyBorder="1"/>
    <xf numFmtId="41" fontId="3" fillId="0" borderId="4" xfId="0" applyNumberFormat="1" applyFont="1" applyFill="1" applyBorder="1"/>
    <xf numFmtId="43" fontId="1" fillId="0" borderId="0" xfId="0" applyNumberFormat="1" applyFont="1" applyFill="1" applyBorder="1"/>
    <xf numFmtId="43" fontId="23" fillId="0" borderId="0" xfId="0" applyNumberFormat="1" applyFont="1" applyFill="1" applyBorder="1"/>
    <xf numFmtId="0" fontId="3" fillId="75" borderId="0" xfId="0" applyFont="1" applyFill="1"/>
    <xf numFmtId="41" fontId="1" fillId="0" borderId="0" xfId="1" applyNumberFormat="1" applyFont="1" applyFill="1" applyBorder="1" applyAlignment="1">
      <alignment horizontal="right"/>
    </xf>
    <xf numFmtId="165" fontId="267" fillId="75" borderId="1" xfId="1" applyNumberFormat="1" applyFont="1" applyFill="1" applyBorder="1" applyAlignment="1">
      <alignment horizontal="right" wrapText="1"/>
    </xf>
    <xf numFmtId="165" fontId="267" fillId="75" borderId="3" xfId="1" applyNumberFormat="1" applyFont="1" applyFill="1" applyBorder="1" applyAlignment="1">
      <alignment horizontal="right" wrapText="1"/>
    </xf>
    <xf numFmtId="44" fontId="0" fillId="2" borderId="0" xfId="0" applyNumberFormat="1" applyFill="1"/>
    <xf numFmtId="0" fontId="0" fillId="75" borderId="0" xfId="0" applyFont="1" applyFill="1" applyAlignment="1">
      <alignment horizontal="center"/>
    </xf>
    <xf numFmtId="42" fontId="1" fillId="2" borderId="0" xfId="3" applyNumberFormat="1" applyFont="1" applyFill="1" applyBorder="1" applyAlignment="1"/>
    <xf numFmtId="42" fontId="282" fillId="2" borderId="0" xfId="0" applyNumberFormat="1" applyFont="1" applyFill="1" applyBorder="1" applyAlignment="1"/>
    <xf numFmtId="44" fontId="1" fillId="75" borderId="0" xfId="2" applyFont="1" applyFill="1" applyBorder="1"/>
    <xf numFmtId="0" fontId="0" fillId="75" borderId="0" xfId="0" applyFont="1" applyFill="1"/>
    <xf numFmtId="166" fontId="1" fillId="0" borderId="0" xfId="3" applyNumberFormat="1" applyFont="1" applyFill="1" applyBorder="1"/>
    <xf numFmtId="166" fontId="1" fillId="75" borderId="0" xfId="3" applyNumberFormat="1" applyFont="1" applyFill="1" applyBorder="1"/>
    <xf numFmtId="0" fontId="3" fillId="75" borderId="0" xfId="5" applyFont="1" applyFill="1" applyAlignment="1">
      <alignment horizontal="center"/>
    </xf>
    <xf numFmtId="0" fontId="267" fillId="2" borderId="0" xfId="0" applyFont="1" applyFill="1"/>
    <xf numFmtId="165" fontId="267" fillId="75" borderId="0" xfId="1" applyNumberFormat="1" applyFont="1" applyFill="1"/>
    <xf numFmtId="9" fontId="267" fillId="75" borderId="0" xfId="3" applyFont="1" applyFill="1"/>
    <xf numFmtId="0" fontId="3" fillId="0" borderId="0" xfId="0" applyFont="1" applyFill="1" applyAlignment="1">
      <alignment horizontal="center"/>
    </xf>
    <xf numFmtId="0" fontId="1" fillId="0" borderId="0" xfId="0" applyFont="1" applyFill="1" applyAlignment="1"/>
    <xf numFmtId="9" fontId="6" fillId="0" borderId="0" xfId="3" applyFont="1" applyFill="1" applyBorder="1" applyAlignment="1"/>
    <xf numFmtId="165" fontId="267" fillId="75" borderId="0" xfId="0" applyNumberFormat="1" applyFont="1" applyFill="1" applyAlignment="1"/>
    <xf numFmtId="165" fontId="284" fillId="75" borderId="0" xfId="1" applyNumberFormat="1" applyFont="1" applyFill="1" applyBorder="1" applyAlignment="1">
      <alignment horizontal="right" wrapText="1"/>
    </xf>
    <xf numFmtId="165" fontId="284" fillId="75" borderId="0" xfId="0" applyNumberFormat="1" applyFont="1" applyFill="1" applyAlignment="1"/>
    <xf numFmtId="9" fontId="267" fillId="75" borderId="0" xfId="3" applyFont="1" applyFill="1" applyAlignment="1">
      <alignment horizontal="right" wrapText="1"/>
    </xf>
    <xf numFmtId="10" fontId="6" fillId="0" borderId="0" xfId="3" applyNumberFormat="1" applyFont="1" applyFill="1" applyBorder="1" applyAlignment="1"/>
    <xf numFmtId="165" fontId="267" fillId="75" borderId="0" xfId="0" applyNumberFormat="1" applyFont="1" applyFill="1"/>
    <xf numFmtId="9" fontId="267" fillId="75" borderId="0" xfId="3" applyFont="1" applyFill="1" applyAlignment="1"/>
    <xf numFmtId="0" fontId="265" fillId="2" borderId="0" xfId="0" applyFont="1" applyFill="1"/>
    <xf numFmtId="0" fontId="285" fillId="2" borderId="0" xfId="0" applyFont="1" applyFill="1"/>
    <xf numFmtId="0" fontId="266" fillId="75" borderId="0" xfId="0" applyFont="1" applyFill="1" applyAlignment="1">
      <alignment horizontal="center"/>
    </xf>
    <xf numFmtId="0" fontId="266" fillId="75" borderId="0" xfId="0" applyNumberFormat="1" applyFont="1" applyFill="1" applyAlignment="1">
      <alignment horizontal="center"/>
    </xf>
    <xf numFmtId="0" fontId="266" fillId="75" borderId="0" xfId="0" applyFont="1" applyFill="1" applyBorder="1" applyAlignment="1"/>
    <xf numFmtId="0" fontId="266" fillId="75" borderId="0" xfId="0" applyFont="1" applyFill="1" applyBorder="1" applyAlignment="1">
      <alignment horizontal="center"/>
    </xf>
    <xf numFmtId="0" fontId="266" fillId="75" borderId="2" xfId="0" applyFont="1" applyFill="1" applyBorder="1" applyAlignment="1">
      <alignment horizontal="center"/>
    </xf>
    <xf numFmtId="0" fontId="286" fillId="2" borderId="0" xfId="0" applyFont="1" applyFill="1"/>
    <xf numFmtId="0" fontId="266" fillId="75" borderId="0" xfId="0" applyFont="1" applyFill="1" applyAlignment="1">
      <alignment horizontal="center"/>
    </xf>
    <xf numFmtId="0" fontId="266" fillId="75" borderId="0" xfId="0" applyNumberFormat="1" applyFont="1" applyFill="1" applyAlignment="1">
      <alignment horizontal="center"/>
    </xf>
    <xf numFmtId="0" fontId="1" fillId="75" borderId="0" xfId="11" applyFont="1" applyFill="1" applyAlignment="1">
      <alignment horizontal="left"/>
    </xf>
    <xf numFmtId="0" fontId="20" fillId="0" borderId="0" xfId="0" applyFont="1" applyFill="1"/>
    <xf numFmtId="0" fontId="26" fillId="0" borderId="0" xfId="0" applyFont="1" applyFill="1"/>
    <xf numFmtId="0" fontId="0" fillId="0" borderId="2" xfId="0" applyFill="1" applyBorder="1"/>
    <xf numFmtId="0" fontId="19" fillId="0" borderId="0" xfId="0" applyFont="1" applyFill="1" applyAlignment="1">
      <alignment horizontal="left" wrapText="1" readingOrder="1"/>
    </xf>
    <xf numFmtId="0" fontId="0" fillId="0" borderId="0" xfId="0" applyFill="1" applyAlignment="1">
      <alignment wrapText="1" readingOrder="1"/>
    </xf>
    <xf numFmtId="0" fontId="18" fillId="0" borderId="0" xfId="0" applyFont="1" applyFill="1" applyAlignment="1">
      <alignment horizontal="left" indent="5" readingOrder="1"/>
    </xf>
    <xf numFmtId="0" fontId="18" fillId="0" borderId="0" xfId="0" applyFont="1" applyFill="1" applyAlignment="1">
      <alignment horizontal="left" wrapText="1" readingOrder="1"/>
    </xf>
    <xf numFmtId="0" fontId="0" fillId="0" borderId="0" xfId="0" applyFill="1" applyAlignment="1"/>
    <xf numFmtId="0" fontId="18" fillId="0" borderId="0" xfId="0" applyFont="1" applyFill="1" applyAlignment="1">
      <alignment readingOrder="1"/>
    </xf>
    <xf numFmtId="0" fontId="18" fillId="0" borderId="0" xfId="0" applyFont="1" applyFill="1" applyAlignment="1">
      <alignment horizontal="left" vertical="top" wrapText="1" readingOrder="1"/>
    </xf>
    <xf numFmtId="0" fontId="0" fillId="0" borderId="0" xfId="0" applyFill="1" applyAlignment="1">
      <alignment vertical="top"/>
    </xf>
    <xf numFmtId="0" fontId="0" fillId="0" borderId="0" xfId="0" applyFill="1" applyBorder="1"/>
    <xf numFmtId="166" fontId="267" fillId="75" borderId="0" xfId="3" applyNumberFormat="1" applyFont="1" applyFill="1"/>
    <xf numFmtId="9" fontId="1" fillId="75" borderId="0" xfId="3" applyFont="1" applyFill="1" applyBorder="1"/>
    <xf numFmtId="43" fontId="1" fillId="0" borderId="107" xfId="1" quotePrefix="1" applyFont="1" applyFill="1" applyBorder="1" applyAlignment="1">
      <alignment horizontal="right"/>
    </xf>
    <xf numFmtId="43" fontId="1" fillId="0" borderId="22" xfId="1" quotePrefix="1" applyFont="1" applyFill="1" applyBorder="1" applyAlignment="1">
      <alignment horizontal="right"/>
    </xf>
    <xf numFmtId="0" fontId="18" fillId="0" borderId="0" xfId="0" applyFont="1" applyFill="1" applyAlignment="1">
      <alignment horizontal="left" vertical="top" wrapText="1" readingOrder="1"/>
    </xf>
    <xf numFmtId="0" fontId="0" fillId="0" borderId="0" xfId="0" applyFill="1" applyAlignment="1">
      <alignment vertical="top"/>
    </xf>
    <xf numFmtId="0" fontId="1" fillId="75" borderId="0" xfId="11" applyFont="1" applyFill="1" applyAlignment="1">
      <alignment horizontal="left"/>
    </xf>
    <xf numFmtId="0" fontId="3" fillId="75" borderId="0" xfId="8" applyFont="1" applyFill="1" applyBorder="1" applyAlignment="1">
      <alignment horizontal="center"/>
    </xf>
    <xf numFmtId="43" fontId="1" fillId="0" borderId="107" xfId="6" quotePrefix="1" applyNumberFormat="1" applyFont="1" applyFill="1" applyBorder="1" applyAlignment="1">
      <alignment horizontal="right"/>
    </xf>
    <xf numFmtId="0" fontId="266" fillId="0" borderId="1" xfId="0" applyFont="1" applyFill="1" applyBorder="1" applyAlignment="1">
      <alignment horizontal="center"/>
    </xf>
    <xf numFmtId="0" fontId="267" fillId="0" borderId="0" xfId="0" applyFont="1" applyFill="1"/>
    <xf numFmtId="43" fontId="1" fillId="0" borderId="22" xfId="6" applyNumberFormat="1" applyFont="1" applyFill="1" applyBorder="1" applyAlignment="1">
      <alignment horizontal="right"/>
    </xf>
    <xf numFmtId="0" fontId="266" fillId="75" borderId="0" xfId="0" applyFont="1" applyFill="1" applyAlignment="1">
      <alignment horizontal="center"/>
    </xf>
    <xf numFmtId="0" fontId="266" fillId="75" borderId="0" xfId="0" applyNumberFormat="1" applyFont="1" applyFill="1" applyAlignment="1">
      <alignment horizontal="center"/>
    </xf>
    <xf numFmtId="0" fontId="16" fillId="0" borderId="0" xfId="0" applyFont="1" applyFill="1" applyAlignment="1">
      <alignment horizontal="left" vertical="top" wrapText="1" readingOrder="1"/>
    </xf>
    <xf numFmtId="0" fontId="286" fillId="0" borderId="0" xfId="0" applyFont="1" applyFill="1" applyAlignment="1">
      <alignment vertical="top"/>
    </xf>
    <xf numFmtId="0" fontId="18" fillId="0" borderId="0" xfId="0" applyFont="1" applyFill="1" applyAlignment="1">
      <alignment horizontal="left" vertical="top" wrapText="1" readingOrder="1"/>
    </xf>
    <xf numFmtId="0" fontId="0" fillId="0" borderId="0" xfId="0" applyFill="1" applyAlignment="1">
      <alignment vertical="top"/>
    </xf>
    <xf numFmtId="0" fontId="0" fillId="0" borderId="0" xfId="0" applyFill="1" applyAlignment="1">
      <alignment vertical="top" readingOrder="1"/>
    </xf>
    <xf numFmtId="0" fontId="18" fillId="0" borderId="0" xfId="0" applyFont="1" applyFill="1" applyAlignment="1">
      <alignment horizontal="left" vertical="top" wrapText="1" indent="5" readingOrder="1"/>
    </xf>
    <xf numFmtId="0" fontId="3" fillId="2" borderId="0" xfId="0" applyFont="1" applyFill="1" applyAlignment="1">
      <alignment horizontal="center"/>
    </xf>
    <xf numFmtId="0" fontId="3" fillId="75" borderId="0" xfId="5" applyFont="1" applyFill="1" applyAlignment="1">
      <alignment horizontal="center"/>
    </xf>
    <xf numFmtId="0" fontId="1" fillId="75" borderId="0" xfId="5" applyFont="1" applyFill="1" applyBorder="1" applyAlignment="1">
      <alignment horizontal="left" vertical="top" wrapText="1"/>
    </xf>
    <xf numFmtId="0" fontId="269" fillId="75" borderId="0" xfId="5" applyFont="1" applyFill="1" applyBorder="1" applyAlignment="1">
      <alignment horizontal="left" vertical="top" wrapText="1"/>
    </xf>
    <xf numFmtId="0" fontId="266" fillId="75" borderId="0" xfId="0" applyFont="1" applyFill="1" applyAlignment="1">
      <alignment horizontal="center"/>
    </xf>
    <xf numFmtId="0" fontId="3" fillId="0" borderId="0" xfId="0" applyFont="1" applyFill="1" applyAlignment="1">
      <alignment horizontal="center"/>
    </xf>
    <xf numFmtId="0" fontId="266" fillId="75" borderId="0" xfId="0" applyNumberFormat="1" applyFont="1" applyFill="1" applyAlignment="1">
      <alignment horizontal="center"/>
    </xf>
    <xf numFmtId="0" fontId="266" fillId="75" borderId="0" xfId="0" applyFont="1" applyFill="1" applyBorder="1" applyAlignment="1">
      <alignment horizontal="center"/>
    </xf>
    <xf numFmtId="0" fontId="266" fillId="75" borderId="98" xfId="0" applyNumberFormat="1" applyFont="1" applyFill="1" applyBorder="1" applyAlignment="1">
      <alignment horizontal="center" vertical="center"/>
    </xf>
    <xf numFmtId="0" fontId="1" fillId="75" borderId="0" xfId="11" applyFont="1" applyFill="1" applyAlignment="1">
      <alignment horizontal="left" vertical="top" wrapText="1"/>
    </xf>
    <xf numFmtId="164" fontId="1" fillId="75" borderId="16" xfId="8" applyNumberFormat="1" applyFont="1" applyFill="1" applyBorder="1" applyAlignment="1">
      <alignment horizontal="left"/>
    </xf>
    <xf numFmtId="164" fontId="1" fillId="75" borderId="4" xfId="8" applyNumberFormat="1" applyFont="1" applyFill="1" applyBorder="1" applyAlignment="1">
      <alignment horizontal="left"/>
    </xf>
    <xf numFmtId="164" fontId="1" fillId="75" borderId="23" xfId="10" applyNumberFormat="1" applyFont="1" applyFill="1" applyBorder="1" applyAlignment="1">
      <alignment horizontal="left"/>
    </xf>
    <xf numFmtId="164" fontId="1" fillId="75" borderId="1" xfId="10" applyNumberFormat="1" applyFont="1" applyFill="1" applyBorder="1" applyAlignment="1">
      <alignment horizontal="left"/>
    </xf>
    <xf numFmtId="0" fontId="1" fillId="75" borderId="0" xfId="8" applyFont="1" applyFill="1" applyBorder="1" applyAlignment="1">
      <alignment horizontal="left" vertical="top" wrapText="1"/>
    </xf>
    <xf numFmtId="0" fontId="1" fillId="75" borderId="0" xfId="11" applyFont="1" applyFill="1" applyAlignment="1">
      <alignment horizontal="left"/>
    </xf>
    <xf numFmtId="0" fontId="3" fillId="75" borderId="0" xfId="8" applyFont="1" applyFill="1" applyBorder="1" applyAlignment="1">
      <alignment horizontal="center"/>
    </xf>
    <xf numFmtId="0" fontId="1" fillId="75" borderId="12" xfId="8" applyNumberFormat="1" applyFont="1" applyFill="1" applyBorder="1" applyAlignment="1">
      <alignment horizontal="left"/>
    </xf>
    <xf numFmtId="0" fontId="1" fillId="75" borderId="13" xfId="8" applyNumberFormat="1" applyFont="1" applyFill="1" applyBorder="1" applyAlignment="1">
      <alignment horizontal="left"/>
    </xf>
    <xf numFmtId="164" fontId="1" fillId="75" borderId="19" xfId="8" applyNumberFormat="1" applyFont="1" applyFill="1" applyBorder="1" applyAlignment="1">
      <alignment horizontal="left"/>
    </xf>
    <xf numFmtId="164" fontId="1" fillId="75" borderId="0" xfId="8" applyNumberFormat="1" applyFont="1" applyFill="1" applyBorder="1" applyAlignment="1">
      <alignment horizontal="left"/>
    </xf>
    <xf numFmtId="0" fontId="1" fillId="75" borderId="0" xfId="4310" applyFont="1" applyFill="1" applyAlignment="1">
      <alignment horizontal="left" vertical="top" wrapText="1"/>
    </xf>
    <xf numFmtId="0" fontId="16" fillId="75" borderId="19" xfId="3399" applyFont="1" applyFill="1" applyBorder="1"/>
    <xf numFmtId="0" fontId="16" fillId="75" borderId="0" xfId="3399" applyFont="1" applyFill="1" applyBorder="1"/>
    <xf numFmtId="0" fontId="1" fillId="75" borderId="0" xfId="4310" applyFont="1" applyFill="1" applyAlignment="1">
      <alignment wrapText="1"/>
    </xf>
    <xf numFmtId="0" fontId="1" fillId="75" borderId="0" xfId="4355" applyFont="1" applyFill="1"/>
    <xf numFmtId="0" fontId="1" fillId="75" borderId="0" xfId="4355" applyFont="1" applyFill="1" applyAlignment="1">
      <alignment horizontal="center"/>
    </xf>
    <xf numFmtId="164" fontId="1" fillId="75" borderId="93" xfId="4356" applyNumberFormat="1" applyFont="1" applyFill="1" applyBorder="1" applyAlignment="1"/>
    <xf numFmtId="164" fontId="1" fillId="75" borderId="94" xfId="4356" applyNumberFormat="1" applyFont="1" applyFill="1" applyBorder="1" applyAlignment="1"/>
    <xf numFmtId="41" fontId="1" fillId="75" borderId="21" xfId="4356" applyNumberFormat="1" applyFont="1" applyFill="1" applyBorder="1" applyAlignment="1">
      <alignment horizontal="right"/>
    </xf>
    <xf numFmtId="41" fontId="1" fillId="75" borderId="95" xfId="4356" applyNumberFormat="1" applyFont="1" applyFill="1" applyBorder="1" applyAlignment="1">
      <alignment horizontal="right"/>
    </xf>
    <xf numFmtId="0" fontId="1" fillId="75" borderId="0" xfId="4355" applyFont="1" applyFill="1" applyBorder="1"/>
    <xf numFmtId="164" fontId="1" fillId="75" borderId="23" xfId="4355" applyNumberFormat="1" applyFont="1" applyFill="1" applyBorder="1"/>
    <xf numFmtId="164" fontId="1" fillId="75" borderId="1" xfId="4355" applyNumberFormat="1" applyFont="1" applyFill="1" applyBorder="1"/>
    <xf numFmtId="164" fontId="1" fillId="75" borderId="24" xfId="4355" applyNumberFormat="1" applyFont="1" applyFill="1" applyBorder="1" applyAlignment="1">
      <alignment horizontal="center"/>
    </xf>
    <xf numFmtId="164" fontId="1" fillId="75" borderId="96" xfId="4356" applyNumberFormat="1" applyFont="1" applyFill="1" applyBorder="1"/>
    <xf numFmtId="164" fontId="1" fillId="75" borderId="97" xfId="4356" applyNumberFormat="1" applyFont="1" applyFill="1" applyBorder="1"/>
    <xf numFmtId="164" fontId="1" fillId="75" borderId="28" xfId="4355" applyNumberFormat="1" applyFont="1" applyFill="1" applyBorder="1"/>
    <xf numFmtId="164" fontId="1" fillId="75" borderId="2" xfId="4355" applyNumberFormat="1" applyFont="1" applyFill="1" applyBorder="1"/>
    <xf numFmtId="164" fontId="1" fillId="75" borderId="2" xfId="4355" applyNumberFormat="1" applyFont="1" applyFill="1" applyBorder="1" applyAlignment="1">
      <alignment horizontal="center"/>
    </xf>
    <xf numFmtId="164" fontId="1" fillId="75" borderId="29" xfId="4355" applyNumberFormat="1" applyFont="1" applyFill="1" applyBorder="1"/>
    <xf numFmtId="164" fontId="1" fillId="75" borderId="0" xfId="4355" applyNumberFormat="1" applyFont="1" applyFill="1" applyBorder="1"/>
    <xf numFmtId="164" fontId="1" fillId="75" borderId="0" xfId="4355" applyNumberFormat="1" applyFont="1" applyFill="1"/>
    <xf numFmtId="164" fontId="1" fillId="75" borderId="0" xfId="4355" applyNumberFormat="1" applyFont="1" applyFill="1" applyAlignment="1">
      <alignment horizontal="center"/>
    </xf>
    <xf numFmtId="165" fontId="96" fillId="75" borderId="0" xfId="4357" applyNumberFormat="1" applyFont="1" applyFill="1" applyBorder="1" applyAlignment="1">
      <alignment horizontal="right"/>
    </xf>
    <xf numFmtId="164" fontId="1" fillId="75" borderId="21" xfId="4357" applyNumberFormat="1" applyFont="1" applyFill="1" applyBorder="1" applyAlignment="1">
      <alignment horizontal="right"/>
    </xf>
    <xf numFmtId="44" fontId="1" fillId="75" borderId="75" xfId="4356" applyFont="1" applyFill="1" applyBorder="1" applyAlignment="1"/>
    <xf numFmtId="44" fontId="1" fillId="75" borderId="94" xfId="4356" applyFont="1" applyFill="1" applyBorder="1" applyAlignment="1"/>
    <xf numFmtId="164" fontId="1" fillId="75" borderId="0" xfId="4356" applyNumberFormat="1" applyFont="1" applyFill="1" applyBorder="1" applyAlignment="1"/>
    <xf numFmtId="164" fontId="7" fillId="75" borderId="0" xfId="4355" applyNumberFormat="1" applyFont="1" applyFill="1" applyBorder="1" applyAlignment="1">
      <alignment horizontal="right"/>
    </xf>
    <xf numFmtId="41" fontId="1" fillId="75" borderId="21" xfId="4357" applyNumberFormat="1" applyFont="1" applyFill="1" applyBorder="1" applyAlignment="1">
      <alignment horizontal="right"/>
    </xf>
    <xf numFmtId="43" fontId="1" fillId="75" borderId="21" xfId="4357" quotePrefix="1" applyNumberFormat="1" applyFont="1" applyFill="1" applyBorder="1" applyAlignment="1">
      <alignment horizontal="right"/>
    </xf>
    <xf numFmtId="43" fontId="1" fillId="75" borderId="95" xfId="4357" quotePrefix="1" applyNumberFormat="1" applyFont="1" applyFill="1" applyBorder="1" applyAlignment="1">
      <alignment horizontal="right"/>
    </xf>
    <xf numFmtId="222" fontId="1" fillId="75" borderId="0" xfId="4356" applyNumberFormat="1" applyFont="1" applyFill="1" applyBorder="1"/>
    <xf numFmtId="164" fontId="3" fillId="75" borderId="0" xfId="4357" applyNumberFormat="1" applyFont="1" applyFill="1" applyBorder="1" applyAlignment="1"/>
    <xf numFmtId="164" fontId="1" fillId="75" borderId="0" xfId="4357" applyNumberFormat="1" applyFont="1" applyFill="1" applyBorder="1" applyAlignment="1"/>
    <xf numFmtId="164" fontId="1" fillId="75" borderId="19" xfId="4355" applyNumberFormat="1" applyFont="1" applyFill="1" applyBorder="1"/>
    <xf numFmtId="164" fontId="1" fillId="75" borderId="20" xfId="4355" applyNumberFormat="1" applyFont="1" applyFill="1" applyBorder="1" applyAlignment="1">
      <alignment horizontal="center"/>
    </xf>
    <xf numFmtId="44" fontId="1" fillId="75" borderId="25" xfId="4356" quotePrefix="1" applyFont="1" applyFill="1" applyBorder="1" applyAlignment="1">
      <alignment horizontal="right"/>
    </xf>
    <xf numFmtId="44" fontId="1" fillId="75" borderId="97" xfId="4356" quotePrefix="1" applyFont="1" applyFill="1" applyBorder="1" applyAlignment="1">
      <alignment horizontal="right"/>
    </xf>
    <xf numFmtId="164" fontId="1" fillId="75" borderId="30" xfId="4355" applyNumberFormat="1" applyFont="1" applyFill="1" applyBorder="1"/>
    <xf numFmtId="164" fontId="1" fillId="75" borderId="3" xfId="4355" applyNumberFormat="1" applyFont="1" applyFill="1" applyBorder="1"/>
    <xf numFmtId="164" fontId="1" fillId="75" borderId="3" xfId="4355" applyNumberFormat="1" applyFont="1" applyFill="1" applyBorder="1" applyAlignment="1">
      <alignment horizontal="center"/>
    </xf>
    <xf numFmtId="164" fontId="1" fillId="75" borderId="31" xfId="4355" applyNumberFormat="1" applyFont="1" applyFill="1" applyBorder="1"/>
    <xf numFmtId="164" fontId="2" fillId="75" borderId="31" xfId="4355" applyNumberFormat="1" applyFont="1" applyFill="1" applyBorder="1"/>
    <xf numFmtId="164" fontId="2" fillId="75" borderId="32" xfId="4355" applyNumberFormat="1" applyFont="1" applyFill="1" applyBorder="1"/>
    <xf numFmtId="0" fontId="1" fillId="75" borderId="0" xfId="4355" applyFont="1" applyFill="1" applyAlignment="1">
      <alignment horizontal="left"/>
    </xf>
    <xf numFmtId="0" fontId="1" fillId="75" borderId="0" xfId="4355" applyFont="1" applyFill="1" applyAlignment="1">
      <alignment horizontal="left" wrapText="1"/>
    </xf>
    <xf numFmtId="164" fontId="1" fillId="75" borderId="0" xfId="8" applyNumberFormat="1" applyFont="1" applyFill="1" applyBorder="1" applyAlignment="1">
      <alignment horizontal="right"/>
    </xf>
    <xf numFmtId="0" fontId="1" fillId="75" borderId="0" xfId="8" applyFont="1" applyFill="1" applyAlignment="1"/>
    <xf numFmtId="0" fontId="1" fillId="75" borderId="0" xfId="4355" applyFont="1" applyFill="1" applyAlignment="1"/>
    <xf numFmtId="164" fontId="1" fillId="75" borderId="0" xfId="8" applyNumberFormat="1" applyFont="1" applyFill="1" applyBorder="1" applyAlignment="1"/>
    <xf numFmtId="164" fontId="1" fillId="75" borderId="0" xfId="4355" applyNumberFormat="1" applyFont="1" applyFill="1" applyAlignment="1"/>
  </cellXfs>
  <cellStyles count="4358">
    <cellStyle name="_x0004_" xfId="12"/>
    <cellStyle name="-" xfId="13"/>
    <cellStyle name=" 1" xfId="14"/>
    <cellStyle name=" Writer Import]_x000d__x000a_Display Dialog=No_x000d__x000a__x000d__x000a_[Horizontal Arrange]_x000d__x000a_Dimensions Interlocking=Yes_x000d__x000a_Sum Hierarchy=Yes_x000d__x000a_Generate" xfId="15"/>
    <cellStyle name="_x000d__x000a_JournalTemplate=C:\COMFO\CTALK\JOURSTD.TPL_x000d__x000a_LbStateAddress=3 3 0 251 1 89 2 311_x000d__x000a_LbStateJou" xfId="16"/>
    <cellStyle name="# ###" xfId="17"/>
    <cellStyle name="$" xfId="18"/>
    <cellStyle name="$K" xfId="19"/>
    <cellStyle name="%" xfId="20"/>
    <cellStyle name="% 2" xfId="21"/>
    <cellStyle name="******************************************" xfId="22"/>
    <cellStyle name="??" xfId="23"/>
    <cellStyle name="?? [0]_??" xfId="24"/>
    <cellStyle name="???[0]_~ME0858" xfId="25"/>
    <cellStyle name="???_~ME0858" xfId="26"/>
    <cellStyle name="??[0]_laroux" xfId="27"/>
    <cellStyle name="??_?.????" xfId="28"/>
    <cellStyle name="\" xfId="29"/>
    <cellStyle name="_%(SignOnly)" xfId="30"/>
    <cellStyle name="_%(SignOnly)_BLS2q_salesforce" xfId="31"/>
    <cellStyle name="_%(SignSpaceOnly)" xfId="32"/>
    <cellStyle name="_%(SignSpaceOnly)_BLS2q_salesforce" xfId="33"/>
    <cellStyle name="_600-7R093-0000-C00 RevH Costed BOM 20060928" xfId="34"/>
    <cellStyle name="_600-7R162-0000-A00 Costed BOM 20070212" xfId="35"/>
    <cellStyle name="_960-10093-1900-001 EVGA RevC" xfId="36"/>
    <cellStyle name="_960-10093-1900-001 EVGA RevC20061024" xfId="37"/>
    <cellStyle name="_Airquote - DELL chasis (FP)" xfId="38"/>
    <cellStyle name="_Airquote - DELL chasis (FP)_Lenovo PACK  Packing Proposal" xfId="39"/>
    <cellStyle name="_Airquote - DELL chasis (FP)_Lenovo Park Format_July 07 05" xfId="40"/>
    <cellStyle name="_Airquote - DELL chasis (FP)_Lenovo Park Format_July 07 05V2" xfId="41"/>
    <cellStyle name="_Alienware CBOM_PPV by SCM Update 070314" xfId="42"/>
    <cellStyle name="_Alienware SDSS#1175 CBOM - 1214" xfId="43"/>
    <cellStyle name="_Balance Sheet July 9 IFRS Sept 18" xfId="44"/>
    <cellStyle name="_Balvenie Package shipment info.2" xfId="45"/>
    <cellStyle name="_Balvenie Package shipment info.2_Lenovo PACK  Packing Proposal" xfId="46"/>
    <cellStyle name="_Balvenie Package shipment info.2_Lenovo Park Format_July 07 05" xfId="47"/>
    <cellStyle name="_Balvenie Package shipment info.2_Lenovo Park Format_July 07 05V2" xfId="48"/>
    <cellStyle name="_BOM update - Supplier List (Purchase) 111102" xfId="49"/>
    <cellStyle name="_BOM update - Supplier List (Purchase) 111102_Lenovo PACK  Packing Proposal" xfId="50"/>
    <cellStyle name="_BOM update - Supplier List (Purchase) 111102_Lenovo Park Format_July 07 05" xfId="51"/>
    <cellStyle name="_BOM update - Supplier List (Purchase) 111102_Lenovo Park Format_July 07 05V2" xfId="52"/>
    <cellStyle name="_bom updated on 2002-11-10" xfId="53"/>
    <cellStyle name="_bom updated on 2002-11-10_Lenovo PACK  Packing Proposal" xfId="54"/>
    <cellStyle name="_bom updated on 2002-11-10_Lenovo Park Format_July 07 05" xfId="55"/>
    <cellStyle name="_bom updated on 2002-11-10_Lenovo Park Format_July 07 05V2" xfId="56"/>
    <cellStyle name="_bom updated on 2002-11-10-1" xfId="57"/>
    <cellStyle name="_bom updated on 2002-11-10-1_Lenovo PACK  Packing Proposal" xfId="58"/>
    <cellStyle name="_bom updated on 2002-11-10-1_Lenovo Park Format_July 07 05" xfId="59"/>
    <cellStyle name="_bom updated on 2002-11-10-1_Lenovo Park Format_July 07 05V2" xfId="60"/>
    <cellStyle name="_Budgetary Quote for VOIP Telephones" xfId="61"/>
    <cellStyle name="_Budgetary Quote for VOIP Telephones_Lenovo PACK  Packing Proposal" xfId="62"/>
    <cellStyle name="_Budgetary Quote for VOIP Telephones_Lenovo Park Format_July 07 05" xfId="63"/>
    <cellStyle name="_Budgetary Quote for VOIP Telephones_Lenovo Park Format_July 07 05V2" xfId="64"/>
    <cellStyle name="_Comma" xfId="65"/>
    <cellStyle name="_Comma_03 Contribution Analysis" xfId="66"/>
    <cellStyle name="_Comma_BLS2q_salesforce" xfId="67"/>
    <cellStyle name="_Comma_Contribution of assets into USAi_02" xfId="68"/>
    <cellStyle name="_Comma_credit - newco_6_18" xfId="69"/>
    <cellStyle name="_Comma_CSC Cable makers 060502" xfId="70"/>
    <cellStyle name="_Comma_Final Pages 8-20" xfId="71"/>
    <cellStyle name="_Comma_Final Pages 8-20_BLS2q_salesforce" xfId="72"/>
    <cellStyle name="_Comma_further analysis on comparables" xfId="73"/>
    <cellStyle name="_Comma_further analysis on comparables_BLS2q_salesforce" xfId="74"/>
    <cellStyle name="_Comma_NBC-5 yearDCF-Final from Vivendi modified" xfId="75"/>
    <cellStyle name="_Comma_Training Model Shell" xfId="76"/>
    <cellStyle name="_Comma_Update 08-27-01-3" xfId="77"/>
    <cellStyle name="_Copy of Exhibit A QUOTE FORMAT_Rev1-0525_Jason-1 (Cost)" xfId="78"/>
    <cellStyle name="_cost analysis" xfId="79"/>
    <cellStyle name="_Cost analysis template" xfId="80"/>
    <cellStyle name="_Cost analysis template_Lenovo PACK  Packing Proposal" xfId="81"/>
    <cellStyle name="_Cost analysis template_Lenovo Park Format_July 07 05" xfId="82"/>
    <cellStyle name="_Cost analysis template_Lenovo Park Format_July 07 05V2" xfId="83"/>
    <cellStyle name="_Cost Analysis Template-1" xfId="84"/>
    <cellStyle name="_Cost Analysis Template-1_Lenovo PACK  Packing Proposal" xfId="85"/>
    <cellStyle name="_Cost Analysis Template-1_Lenovo Park Format_July 07 05" xfId="86"/>
    <cellStyle name="_Cost Analysis Template-1_Lenovo Park Format_July 07 05V2" xfId="87"/>
    <cellStyle name="_Cost BOM" xfId="88"/>
    <cellStyle name="_Currency" xfId="89"/>
    <cellStyle name="_Currency_03 Contribution Analysis" xfId="90"/>
    <cellStyle name="_Currency_08 FB &amp; Milan IS" xfId="91"/>
    <cellStyle name="_Currency_Basic LBO v06" xfId="92"/>
    <cellStyle name="_Currency_BLS2q_salesforce" xfId="93"/>
    <cellStyle name="_Currency_Contribution of assets into USAi_02" xfId="94"/>
    <cellStyle name="_Currency_credit - newco_6_18" xfId="95"/>
    <cellStyle name="_Currency_credit - newco_6_18_BLS2q_salesforce" xfId="96"/>
    <cellStyle name="_Currency_CSC Cable makers 060502" xfId="97"/>
    <cellStyle name="_Currency_Final Pages 8-20" xfId="98"/>
    <cellStyle name="_Currency_Final Pages 8-20_BLS2q_salesforce" xfId="99"/>
    <cellStyle name="_Currency_further analysis on comparables" xfId="100"/>
    <cellStyle name="_Currency_further analysis on comparables_BLS2q_salesforce" xfId="101"/>
    <cellStyle name="_Currency_merger_plans (Jason Cho) - solution" xfId="102"/>
    <cellStyle name="_Currency_MVL 2005-2007 IS v04" xfId="103"/>
    <cellStyle name="_Currency_NBC-5 yearDCF-Final from Vivendi modified" xfId="104"/>
    <cellStyle name="_Currency_Oakley Model v13" xfId="105"/>
    <cellStyle name="_Currency_Pirelli Valo" xfId="106"/>
    <cellStyle name="_Currency_Preliminary Model 30 06 00" xfId="107"/>
    <cellStyle name="_Currency_TK - Training Model" xfId="108"/>
    <cellStyle name="_Currency_Training Model Shell" xfId="109"/>
    <cellStyle name="_Currency_Training Model Shell_BLS2q_salesforce" xfId="110"/>
    <cellStyle name="_Currency_Update 08-27-01-3" xfId="111"/>
    <cellStyle name="_Currency_Update 08-27-01-3_BLS2q_salesforce" xfId="112"/>
    <cellStyle name="_Currency_Vison Ease v09" xfId="113"/>
    <cellStyle name="_Currency_Warrants Valuation Model" xfId="114"/>
    <cellStyle name="_CurrencySpace" xfId="115"/>
    <cellStyle name="_CurrencySpace_03 Contribution Analysis" xfId="116"/>
    <cellStyle name="_CurrencySpace_08 FB &amp; Milan IS" xfId="117"/>
    <cellStyle name="_CurrencySpace_BLS2q_salesforce" xfId="118"/>
    <cellStyle name="_CurrencySpace_Contribution of assets into USAi_02" xfId="119"/>
    <cellStyle name="_CurrencySpace_credit - newco_6_18" xfId="120"/>
    <cellStyle name="_CurrencySpace_CSC Cable makers 060502" xfId="121"/>
    <cellStyle name="_CurrencySpace_Final Pages 8-20" xfId="122"/>
    <cellStyle name="_CurrencySpace_Final Pages 8-20_BLS2q_salesforce" xfId="123"/>
    <cellStyle name="_CurrencySpace_further analysis on comparables" xfId="124"/>
    <cellStyle name="_CurrencySpace_further analysis on comparables_BLS2q_salesforce" xfId="125"/>
    <cellStyle name="_CurrencySpace_NBC-5 yearDCF-Final from Vivendi modified" xfId="126"/>
    <cellStyle name="_CurrencySpace_NEP Model v20" xfId="127"/>
    <cellStyle name="_CurrencySpace_Oakley Model v13" xfId="128"/>
    <cellStyle name="_CurrencySpace_TK - Training Model" xfId="129"/>
    <cellStyle name="_CurrencySpace_Training Model Shell" xfId="130"/>
    <cellStyle name="_CurrencySpace_Update 08-27-01-3" xfId="131"/>
    <cellStyle name="_CurrencySpace_Vison Ease v09" xfId="132"/>
    <cellStyle name="_DDU AFR (DM-Miami,USA) --Douglas 070315" xfId="133"/>
    <cellStyle name="_DDU SHA by LCL ocean&amp;air -- Tina Zang061227FYI" xfId="134"/>
    <cellStyle name="_DELL Field Returns Inventory 01Mar04'2" xfId="135"/>
    <cellStyle name="_DELL Field Returns Inventory 01Mar04'2_Lenovo PACK  Packing Proposal" xfId="136"/>
    <cellStyle name="_DELL Field Returns Inventory 01Mar04'2_Lenovo Park Format_July 07 05" xfId="137"/>
    <cellStyle name="_DELL Field Returns Inventory 01Mar04'2_Lenovo Park Format_July 07 05V2" xfId="138"/>
    <cellStyle name="_Dell Fields Return Cost Estimaton - 20040308" xfId="139"/>
    <cellStyle name="_Dell Fields Return Cost Estimaton - 20040308_Lenovo PACK  Packing Proposal" xfId="140"/>
    <cellStyle name="_Dell Fields Return Cost Estimaton - 20040308_Lenovo Park Format_July 07 05" xfId="141"/>
    <cellStyle name="_Dell Fields Return Cost Estimaton - 20040308_Lenovo Park Format_July 07 05V2" xfId="142"/>
    <cellStyle name="_Dell Kookaburra L10 Costing_Rev01 (Nov 23,2007)" xfId="143"/>
    <cellStyle name="_Dell MB APCC EMF Bax (Nov 25)" xfId="144"/>
    <cellStyle name="_Dell MB APCC EMF Bax (Nov 25)_Lenovo PACK  Packing Proposal" xfId="145"/>
    <cellStyle name="_Dell MB APCC EMF Bax (Nov 25)_Lenovo Park Format_July 07 05" xfId="146"/>
    <cellStyle name="_Dell MB APCC EMF Bax (Nov 25)_Lenovo Park Format_July 07 05V2" xfId="147"/>
    <cellStyle name="_Dell MB to AMF Frt Pricing - 20040309" xfId="148"/>
    <cellStyle name="_Dell MB to AMF Frt Pricing - 20040309_Lenovo PACK  Packing Proposal" xfId="149"/>
    <cellStyle name="_Dell MB to AMF Frt Pricing - 20040309_Lenovo Park Format_July 07 05" xfId="150"/>
    <cellStyle name="_Dell MB to AMF Frt Pricing - 20040309_Lenovo Park Format_July 07 05V2" xfId="151"/>
    <cellStyle name="_Dell MB to AMF Pricing - 20040308" xfId="152"/>
    <cellStyle name="_Dell MB to AMF Pricing - 20040308_Lenovo PACK  Packing Proposal" xfId="153"/>
    <cellStyle name="_Dell MB to AMF Pricing - 20040308_Lenovo Park Format_July 07 05" xfId="154"/>
    <cellStyle name="_Dell MB to AMF Pricing - 20040308_Lenovo Park Format_July 07 05V2" xfId="155"/>
    <cellStyle name="_Dell Sneetch EE BOM COST0406-from GP-summary-revised" xfId="156"/>
    <cellStyle name="_EMC Koto DDP Durham - 20040707" xfId="157"/>
    <cellStyle name="_EMC Koto DDP Durham - 20040707_Lenovo PACK  Packing Proposal" xfId="158"/>
    <cellStyle name="_EMC Koto DDP Durham - 20040707_Lenovo Park Format_July 07 05" xfId="159"/>
    <cellStyle name="_EMC Koto DDP Durham - 20040707_Lenovo Park Format_July 07 05V2" xfId="160"/>
    <cellStyle name="_Euro" xfId="161"/>
    <cellStyle name="_Euro_BLS2q_salesforce" xfId="162"/>
    <cellStyle name="_freight  hub cost-7-281" xfId="163"/>
    <cellStyle name="_freight  hub cost-7-281_Lenovo PACK  Packing Proposal" xfId="164"/>
    <cellStyle name="_freight  hub cost-7-281_Lenovo Park Format_July 07 05" xfId="165"/>
    <cellStyle name="_freight  hub cost-7-281_Lenovo Park Format_July 07 05V2" xfId="166"/>
    <cellStyle name="_freight cost-7-12" xfId="167"/>
    <cellStyle name="_freight cost-7-12_Lenovo PACK  Packing Proposal" xfId="168"/>
    <cellStyle name="_freight cost-7-12_Lenovo Park Format_July 07 05" xfId="169"/>
    <cellStyle name="_freight cost-7-12_Lenovo Park Format_July 07 05V2" xfId="170"/>
    <cellStyle name="_GH4 360 Cost BOM-Apr-23-2008" xfId="171"/>
    <cellStyle name="_HDD Quote Doumen Summary v2_0703013-billy add packing size" xfId="172"/>
    <cellStyle name="_Heading" xfId="173"/>
    <cellStyle name="_Heading_01 VU Liquidity 171202" xfId="174"/>
    <cellStyle name="_Heading_18 Management Projections" xfId="175"/>
    <cellStyle name="_Heading_20080616_Ownership Structure Walk-Up" xfId="176"/>
    <cellStyle name="_Heading_210302 VU Liquidity new figures" xfId="177"/>
    <cellStyle name="_Heading_prestemp" xfId="178"/>
    <cellStyle name="_Heading_Tribune Consolidated Model v578" xfId="179"/>
    <cellStyle name="_Headline" xfId="180"/>
    <cellStyle name="_Highlight" xfId="181"/>
    <cellStyle name="_Highlight 10" xfId="182"/>
    <cellStyle name="_Highlight 11" xfId="183"/>
    <cellStyle name="_Highlight 12" xfId="184"/>
    <cellStyle name="_Highlight 2" xfId="185"/>
    <cellStyle name="_Highlight 3" xfId="186"/>
    <cellStyle name="_Highlight 4" xfId="187"/>
    <cellStyle name="_Highlight 5" xfId="188"/>
    <cellStyle name="_Highlight 6" xfId="189"/>
    <cellStyle name="_Highlight 7" xfId="190"/>
    <cellStyle name="_Highlight 8" xfId="191"/>
    <cellStyle name="_Highlight 9" xfId="192"/>
    <cellStyle name="_HJF-6C0066" xfId="193"/>
    <cellStyle name="_HP bPC OFR (050912)" xfId="194"/>
    <cellStyle name="_Hub and Truck and  Ocean rate to Shanghai (Dazhong hub) 060920 revised- to Steven" xfId="195"/>
    <cellStyle name="_IBM ex DM (ORF_TFR)040719" xfId="196"/>
    <cellStyle name="_IBM ex DM (ORF_TFR)040719_Lenovo PACK  Packing Proposal" xfId="197"/>
    <cellStyle name="_IBM ex DM (ORF_TFR)040719_Lenovo Park Format_July 07 05" xfId="198"/>
    <cellStyle name="_IBM ex DM (ORF_TFR)040719_Lenovo Park Format_July 07 05V2" xfId="199"/>
    <cellStyle name="_IBM ex DM (ORF_TFR)040818" xfId="200"/>
    <cellStyle name="_IBM ex DM (ORF_TFR)040818_Lenovo PACK  Packing Proposal" xfId="201"/>
    <cellStyle name="_IBM ex DM (ORF_TFR)040818_Lenovo Park Format_July 07 05" xfId="202"/>
    <cellStyle name="_IBM ex DM (ORF_TFR)040818_Lenovo Park Format_July 07 05V2" xfId="203"/>
    <cellStyle name="_IBM Ocean Freight quoting - 20040714" xfId="204"/>
    <cellStyle name="_IBM Ocean Freight quoting - 20040714_Lenovo PACK  Packing Proposal" xfId="205"/>
    <cellStyle name="_IBM Ocean Freight quoting - 20040714_Lenovo Park Format_July 07 05" xfId="206"/>
    <cellStyle name="_IBM Ocean Freight quoting - 20040714_Lenovo Park Format_July 07 05V2" xfId="207"/>
    <cellStyle name="_IBM Ocean Freight quoting - 20040719" xfId="208"/>
    <cellStyle name="_IBM Ocean Freight quoting - 20040719_Lenovo PACK  Packing Proposal" xfId="209"/>
    <cellStyle name="_IBM Ocean Freight quoting - 20040719_Lenovo Park Format_July 07 05" xfId="210"/>
    <cellStyle name="_IBM Ocean Freight quoting - 20040719_Lenovo Park Format_July 07 05V2" xfId="211"/>
    <cellStyle name="_IBM Ocean Freight quoting - 20040728-40'HC" xfId="212"/>
    <cellStyle name="_IBM Ocean Freight quoting - 20040728-40'HC_Lenovo PACK  Packing Proposal" xfId="213"/>
    <cellStyle name="_IBM Ocean Freight quoting - 20040728-40'HC_Lenovo Park Format_July 07 05" xfId="214"/>
    <cellStyle name="_IBM Ocean Freight quoting - 20040728-40'HC_Lenovo Park Format_July 07 05V2" xfId="215"/>
    <cellStyle name="_IE Model -- Connector Male WS (3.25.2008)" xfId="216"/>
    <cellStyle name="_IE Model -- -Control-V1 WS(5.8.2008)" xfId="217"/>
    <cellStyle name="_IE Model - Dell Sneeth MB 550K for 8Q (2508 components)" xfId="218"/>
    <cellStyle name="_IE Model -- D-Pad PCBA (3.25.2008)" xfId="219"/>
    <cellStyle name="_IE Model -- GH4 BoxBuild (Mar.25.2008)" xfId="220"/>
    <cellStyle name="_IE Model -- MB PCBA (3.25.2008)" xfId="221"/>
    <cellStyle name="_IE Model -- MB SMT(5.8.2008)" xfId="222"/>
    <cellStyle name="_IE Model -- MB WS (3.25.2008)" xfId="223"/>
    <cellStyle name="_IE Model -- MB WS(5.8.2008)" xfId="224"/>
    <cellStyle name="_IE Model -- Neck Connector Female WS (3.25.2008)" xfId="225"/>
    <cellStyle name="_IE Model -- PMD WS (3.25.2008)" xfId="226"/>
    <cellStyle name="_IE Model -- RJ-11 WS (3.25.2008)" xfId="227"/>
    <cellStyle name="_IE Model -- Slider PCBA (3.25.2008)" xfId="228"/>
    <cellStyle name="_IE Model -- Strum WS (3.25.2008)" xfId="229"/>
    <cellStyle name="_IE Model -- Synth PCBA(5.8.2008)" xfId="230"/>
    <cellStyle name="_IE Model -- Synth WS(5.8.2008)" xfId="231"/>
    <cellStyle name="_IE Model --Alienware 051101" xfId="232"/>
    <cellStyle name="_IE Model --Alienware 051102" xfId="233"/>
    <cellStyle name="_IE Model --Alienware 051103" xfId="234"/>
    <cellStyle name="_IE Model --Alienware 051104" xfId="235"/>
    <cellStyle name="_IE Model --AMD UVC project" xfId="236"/>
    <cellStyle name="_IE Model --Backplane 012907-001(Aug.21.07)" xfId="237"/>
    <cellStyle name="_IE Model --BB(5.8.2008)" xfId="238"/>
    <cellStyle name="_IE Model --Beibei SAS Backplane (July.25.07)" xfId="239"/>
    <cellStyle name="_IE Model --Control-V1 SMT(5.8.2008)" xfId="240"/>
    <cellStyle name="_IE Model --Cymbal WS(5.8.2008)" xfId="241"/>
    <cellStyle name="_IE Model --Dell heiden Mar. 1(150K per month)" xfId="242"/>
    <cellStyle name="_IE Model --Dell heiden(150K)" xfId="243"/>
    <cellStyle name="_IE Model --Dell Klammer motherboard (Jul 10, 07) Doug Edit" xfId="244"/>
    <cellStyle name="_IE Model --Dell Klammer motherboard (Jul 17, 07) Doug Edit" xfId="245"/>
    <cellStyle name="_IE Model --Dell Klammer motherboard(Apr.23,07)" xfId="246"/>
    <cellStyle name="_IE Model --Dell Kookaburra Backplane RevA (Nov 22, 2007)" xfId="247"/>
    <cellStyle name="_IE Model --Dell Kookaburra MB PCBA RevA (Nov 22,2007)" xfId="248"/>
    <cellStyle name="_IE Model --Dell Kookaburra Riser card RevA (Nov 22, 2007)" xfId="249"/>
    <cellStyle name="_IE Model --Dell Kookaburra SI RevA (Nov 22,2007)" xfId="250"/>
    <cellStyle name="_IE Model --Fan interface PCA  012513-501(Aug.22.07)" xfId="251"/>
    <cellStyle name="_IE Model --HP 7Seg (Apr.27,07)_Updated 070507" xfId="252"/>
    <cellStyle name="_IE Model --HP MB Performance(Aug.06.07)" xfId="253"/>
    <cellStyle name="_IE Model --HP MB Value(Aug.06.07)" xfId="254"/>
    <cellStyle name="_IE Model --HP ML150-G4" xfId="255"/>
    <cellStyle name="_IE Model --HP River Gunnison (Jun 21 07)" xfId="256"/>
    <cellStyle name="_IE Model --HP River MB Low (May.28.07)" xfId="257"/>
    <cellStyle name="_IE Model --HP River MB Mid-range (May.29.07)" xfId="258"/>
    <cellStyle name="_IE Model --IBM Backplane RevA (Nov 26, 2007)" xfId="259"/>
    <cellStyle name="_IE Model --IBM BeiBei MB PCBA RevA (Nov 26,2007)" xfId="260"/>
    <cellStyle name="_IE Model --IO Board 012404-501(Aug.21.07)" xfId="261"/>
    <cellStyle name="_IE Model --IO(Apr.27,07)_Updated 070507" xfId="262"/>
    <cellStyle name="_IE Model --Lenovo Beibei Plan A(July.25.07)" xfId="263"/>
    <cellStyle name="_IE Model --Lenovo Beibei Plan B(July.25.07)" xfId="264"/>
    <cellStyle name="_IE Model --Levono Jingjing(July.25.07)" xfId="265"/>
    <cellStyle name="_IE Model --Midi WS(5.8.2008)" xfId="266"/>
    <cellStyle name="_IE Model --Midplane012903-001(Aug.21.07)" xfId="267"/>
    <cellStyle name="_IE Model --NVD C55" xfId="268"/>
    <cellStyle name="_IE Model --NVD p162" xfId="269"/>
    <cellStyle name="_IE Model --NVD P280 (4)" xfId="270"/>
    <cellStyle name="_IE Model --NVD P492(20K per Month)" xfId="271"/>
    <cellStyle name="_IE Model --PMD WS(5.8.2008)" xfId="272"/>
    <cellStyle name="_IE Model --Power UID PCA1  012438-502(Aug.21.07)" xfId="273"/>
    <cellStyle name="_IE Model --Power UID PCA2  012438-501(Aug.22.07)" xfId="274"/>
    <cellStyle name="_IE Model --RFQ-P355" xfId="275"/>
    <cellStyle name="_IE Model --RFQ-P355 (3)" xfId="276"/>
    <cellStyle name="_IE Model --Wacom BB Rev A" xfId="277"/>
    <cellStyle name="_IE Model --Wacom Inverter Board Rev A" xfId="278"/>
    <cellStyle name="_IE Model --Wacom Main PCBA Rev A" xfId="279"/>
    <cellStyle name="_IE Model --Wacom OSD SW board Rev A" xfId="280"/>
    <cellStyle name="_IE Model --Wacom Power SW board Rev A" xfId="281"/>
    <cellStyle name="_IE Model --Wacom Sensor control Board Rev A" xfId="282"/>
    <cellStyle name="_IE Model --Wacom USB Connector Board Rev A" xfId="283"/>
    <cellStyle name="_Katana Freight count" xfId="284"/>
    <cellStyle name="_Katana Freight count_Lenovo PACK  Packing Proposal" xfId="285"/>
    <cellStyle name="_Katana Freight count_Lenovo Park Format_July 07 05" xfId="286"/>
    <cellStyle name="_Katana Freight count_Lenovo Park Format_July 07 05V2" xfId="287"/>
    <cellStyle name="_KN-Flex Quotes Database 030306" xfId="288"/>
    <cellStyle name="_Lenovo PACK  Packing Proposal" xfId="289"/>
    <cellStyle name="_Lenovo Park Format_July 07 05" xfId="290"/>
    <cellStyle name="_Lenovo Park Format_July 07 05V2" xfId="291"/>
    <cellStyle name="_Logistic Cost analysis (DM-SHA for Quanta) -- Stig 061018" xfId="292"/>
    <cellStyle name="_Logistic Cost analysis (FOB HK) -- Hill 061023" xfId="293"/>
    <cellStyle name="_Logistic Cost analysis (FOB HK) -- Hill 061023 (3)" xfId="294"/>
    <cellStyle name="_Logistic cost analysis 1221_DM" xfId="295"/>
    <cellStyle name="_Logistic Cost analysis template - updated" xfId="296"/>
    <cellStyle name="_Motherboard Pricing 20030722" xfId="297"/>
    <cellStyle name="_Motherboard Pricing 20030722_Lenovo PACK  Packing Proposal" xfId="298"/>
    <cellStyle name="_Motherboard Pricing 20030722_Lenovo Park Format_July 07 05" xfId="299"/>
    <cellStyle name="_Motherboard Pricing 20030722_Lenovo Park Format_July 07 05V2" xfId="300"/>
    <cellStyle name="_MOTO SLIC300MP FOB HK Transport Pricing Targe Vol (R2)" xfId="301"/>
    <cellStyle name="_MOTO SLIC300MP FOB HK Transport Pricing Targe Vol (R2)_Lenovo PACK  Packing Proposal" xfId="302"/>
    <cellStyle name="_MOTO SLIC300MP FOB HK Transport Pricing Targe Vol (R2)_Lenovo Park Format_July 07 05" xfId="303"/>
    <cellStyle name="_MOTO SLIC300MP FOB HK Transport Pricing Targe Vol (R2)_Lenovo Park Format_July 07 05V2" xfId="304"/>
    <cellStyle name="_MOTO SLIC300MP FOB HK Transport Pricing Targe Vol (R2)_Salcomp FCA HK Transport Pricing Dec11" xfId="305"/>
    <cellStyle name="_MOTO SLIC300MP FOB HK Transport Pricing Targe Vol (R2)_Salcomp FCA HK Transport Pricing Dec11_Lenovo PACK  Packing Proposal" xfId="306"/>
    <cellStyle name="_MOTO SLIC300MP FOB HK Transport Pricing Targe Vol (R2)_Salcomp FCA HK Transport Pricing Dec11_Lenovo Park Format_July 07 05" xfId="307"/>
    <cellStyle name="_MOTO SLIC300MP FOB HK Transport Pricing Targe Vol (R2)_Salcomp FCA HK Transport Pricing Dec11_Lenovo Park Format_July 07 05V2" xfId="308"/>
    <cellStyle name="_MOTO SLIC300MP FOB HK Transport Pricing(Target Volume)" xfId="309"/>
    <cellStyle name="_MOTO SLIC300MP FOB HK Transport Pricing(Target Volume)_Lenovo PACK  Packing Proposal" xfId="310"/>
    <cellStyle name="_MOTO SLIC300MP FOB HK Transport Pricing(Target Volume)_Lenovo Park Format_July 07 05" xfId="311"/>
    <cellStyle name="_MOTO SLIC300MP FOB HK Transport Pricing(Target Volume)_Lenovo Park Format_July 07 05V2" xfId="312"/>
    <cellStyle name="_MOTO SLIC300MP FOB HK Transport Pricing(Target Volume)_Salcomp FCA HK Transport Pricing Dec11" xfId="313"/>
    <cellStyle name="_MOTO SLIC300MP FOB HK Transport Pricing(Target Volume)_Salcomp FCA HK Transport Pricing Dec11_Lenovo PACK  Packing Proposal" xfId="314"/>
    <cellStyle name="_MOTO SLIC300MP FOB HK Transport Pricing(Target Volume)_Salcomp FCA HK Transport Pricing Dec11_Lenovo Park Format_July 07 05" xfId="315"/>
    <cellStyle name="_MOTO SLIC300MP FOB HK Transport Pricing(Target Volume)_Salcomp FCA HK Transport Pricing Dec11_Lenovo Park Format_July 07 05V2" xfId="316"/>
    <cellStyle name="_Mozart BOM-Cost_06Apr05" xfId="317"/>
    <cellStyle name="_Mozart BOM-Cost_06Apr05_Lenovo PARK BOM Zero cost 705_05V2" xfId="318"/>
    <cellStyle name="_Mozart BOM-Cost_06Apr05_Lenovo PARK BOM Zero cost 705_05V2_Lenovo Park Format_July 07 05" xfId="319"/>
    <cellStyle name="_Mozart BOM-Cost_06Apr05_Lenovo PARK BOM Zero cost 705_05V2_Lenovo Park Format_July 07 05V2" xfId="320"/>
    <cellStyle name="_Mozart BOM-Cost_06Apr05_Lenovo Park Format (proposed Evans)" xfId="321"/>
    <cellStyle name="_Mozart BOM-Cost_06Apr05_Lenovo Park Format (proposed Evans)_Lenovo Park Format_July 07 05" xfId="322"/>
    <cellStyle name="_Mozart BOM-Cost_06Apr05_Lenovo Park Format (proposed Evans)_Lenovo Park Format_July 07 05V2" xfId="323"/>
    <cellStyle name="_Mozart BOM-Cost_06Apr05_Lenovo Park Format_July 07 05" xfId="324"/>
    <cellStyle name="_Mozart BOM-Cost_06Apr05_Lenovo Park Format_July 07 05V2" xfId="325"/>
    <cellStyle name="_Multiple" xfId="326"/>
    <cellStyle name="_Multiple_02 Pfd Valuation" xfId="327"/>
    <cellStyle name="_Multiple_03 Contribution Analysis" xfId="328"/>
    <cellStyle name="_Multiple_20080605_182 NewCo Agreement Model_v36" xfId="329"/>
    <cellStyle name="_Multiple_20080616_Ownership Structure Walk-Up" xfId="330"/>
    <cellStyle name="_Multiple_Basic LBO v06" xfId="331"/>
    <cellStyle name="_Multiple_Contribution of assets into USAi_02" xfId="332"/>
    <cellStyle name="_Multiple_credit - newco_6_18" xfId="333"/>
    <cellStyle name="_Multiple_credit - newco_6_18_BLS2q_salesforce" xfId="334"/>
    <cellStyle name="_Multiple_CSC Cable makers 060502" xfId="335"/>
    <cellStyle name="_Multiple_Final Pages 8-20" xfId="336"/>
    <cellStyle name="_Multiple_further analysis on comparables" xfId="337"/>
    <cellStyle name="_Multiple_NBC-5 yearDCF-Final from Vivendi modified" xfId="338"/>
    <cellStyle name="_Multiple_Oakley Model v13" xfId="339"/>
    <cellStyle name="_Multiple_Training Model Shell" xfId="340"/>
    <cellStyle name="_Multiple_Training Model Shell_BLS2q_salesforce" xfId="341"/>
    <cellStyle name="_Multiple_Update 08-27-01-3" xfId="342"/>
    <cellStyle name="_Multiple_Update 08-27-01-3_BLS2q_salesforce" xfId="343"/>
    <cellStyle name="_Multiple_USA Ownership" xfId="344"/>
    <cellStyle name="_MultipleSpace" xfId="345"/>
    <cellStyle name="_MultipleSpace_02 Pfd Valuation" xfId="346"/>
    <cellStyle name="_MultipleSpace_03 Contribution Analysis" xfId="347"/>
    <cellStyle name="_MultipleSpace_20080605_182 NewCo Agreement Model_v36" xfId="348"/>
    <cellStyle name="_MultipleSpace_20080616_Ownership Structure Walk-Up" xfId="349"/>
    <cellStyle name="_MultipleSpace_BLS2q_salesforce" xfId="350"/>
    <cellStyle name="_MultipleSpace_Contribution of assets into USAi_02" xfId="351"/>
    <cellStyle name="_MultipleSpace_credit - newco_6_18" xfId="352"/>
    <cellStyle name="_MultipleSpace_credit - newco_6_18_BLS2q_salesforce" xfId="353"/>
    <cellStyle name="_MultipleSpace_CSC Cable makers 060502" xfId="354"/>
    <cellStyle name="_MultipleSpace_EBITDA Multiple_3" xfId="355"/>
    <cellStyle name="_MultipleSpace_Final Pages 8-20" xfId="356"/>
    <cellStyle name="_MultipleSpace_Final Pages 8-20_BLS2q_salesforce" xfId="357"/>
    <cellStyle name="_MultipleSpace_further analysis on comparables" xfId="358"/>
    <cellStyle name="_MultipleSpace_further analysis on comparables_BLS2q_salesforce" xfId="359"/>
    <cellStyle name="_MultipleSpace_NBC-5 yearDCF-Final from Vivendi modified" xfId="360"/>
    <cellStyle name="_MultipleSpace_Training Model Shell" xfId="361"/>
    <cellStyle name="_MultipleSpace_Training Model Shell_BLS2q_salesforce" xfId="362"/>
    <cellStyle name="_MultipleSpace_Update 08-27-01-3" xfId="363"/>
    <cellStyle name="_MultipleSpace_Update 08-27-01-3_BLS2q_salesforce" xfId="364"/>
    <cellStyle name="_MultipleSpace_USA Ownership" xfId="365"/>
    <cellStyle name="_MultipleSpace_VU Valuation-top down approach 02" xfId="366"/>
    <cellStyle name="_Ocean Freight Request - HKG to Touyuan" xfId="367"/>
    <cellStyle name="_Ocean Freight RFQ - New Format" xfId="368"/>
    <cellStyle name="_Ocean Freight RFQ - New Lane Pair EX DGN 20050419" xfId="369"/>
    <cellStyle name="_ONL Considerations PR CY09 AOP 01-21-09 FINAL" xfId="370"/>
    <cellStyle name="_P456 COST BOM_Sep29th" xfId="371"/>
    <cellStyle name="_P50455 Costed BOM 20050922" xfId="372"/>
    <cellStyle name="_PACKAGE COST Lenovo Speyburn IV " xfId="373"/>
    <cellStyle name="_PACKAGE COST-Andes Lenovo 17L" xfId="374"/>
    <cellStyle name="_PACKAGE COST-HP Malibu DL580 G5" xfId="375"/>
    <cellStyle name="_PACKAGE COST-Lenovo 13LS" xfId="376"/>
    <cellStyle name="_PACKAGE COST-Lenovo 25LM" xfId="377"/>
    <cellStyle name="_PACKAGE COST-Martel- W-Handle" xfId="378"/>
    <cellStyle name="_PACKAGE COST-Martel- WO_Handle" xfId="379"/>
    <cellStyle name="_PACKAGE-ASSY COST Apollo" xfId="380"/>
    <cellStyle name="_PACKAGE-ASSY COST-Lenova Bluesky (2)" xfId="381"/>
    <cellStyle name="_Percent" xfId="382"/>
    <cellStyle name="_Percent_02 Pfd Valuation" xfId="383"/>
    <cellStyle name="_Percent_20080616_Ownership Structure Walk-Up" xfId="384"/>
    <cellStyle name="_Percent_BLS2q_salesforce" xfId="385"/>
    <cellStyle name="_Percent_USA Ownership" xfId="386"/>
    <cellStyle name="_PercentSpace" xfId="387"/>
    <cellStyle name="_PercentSpace_02 Pfd Valuation" xfId="388"/>
    <cellStyle name="_PercentSpace_20080616_Ownership Structure Walk-Up" xfId="389"/>
    <cellStyle name="_PercentSpace_BLS2q_salesforce" xfId="390"/>
    <cellStyle name="_PercentSpace_USA Ownership" xfId="391"/>
    <cellStyle name="_PL VG au 9 juillet 2008" xfId="392"/>
    <cellStyle name="_PM93 Quote Summary Update 061024" xfId="393"/>
    <cellStyle name="_PPA 9Cegetel 30 juin (040808)" xfId="394"/>
    <cellStyle name="_Presentation ATVI" xfId="395"/>
    <cellStyle name="_quotation(IBM) to david new" xfId="396"/>
    <cellStyle name="_quotation(IBM) to david new_Lenovo PACK  Packing Proposal" xfId="397"/>
    <cellStyle name="_quotation(IBM) to david new_Lenovo Park Format_July 07 05" xfId="398"/>
    <cellStyle name="_quotation(IBM) to david new_Lenovo Park Format_July 07 05V2" xfId="399"/>
    <cellStyle name="_RFQ required by Makkah 1101 (3)" xfId="400"/>
    <cellStyle name="_RollDG Template 605" xfId="401"/>
    <cellStyle name="_RollDM Alienware PCBA only business_ELC DIP Cards 070314" xfId="402"/>
    <cellStyle name="_RollDM Dell MB Heiden $70 BOM_Revised with Roberto 070318_$4TC Goal Seek" xfId="403"/>
    <cellStyle name="_RollDM Dell Sneeth MB_Rev01 070405" xfId="404"/>
    <cellStyle name="_RollDM HP MSA50 PCBA Cost Model_Quote 500K Monthly Rev01 (Aug 29, 2007)" xfId="405"/>
    <cellStyle name="_RollDM HP Rivers MB Gunnison_9K-13K monthly 070622" xfId="406"/>
    <cellStyle name="_RollDM L10 Cost Model_Template 070712 Rev 1.2" xfId="407"/>
    <cellStyle name="_RollDM Nvidia Add-in Card-50329" xfId="408"/>
    <cellStyle name="_RollDM Nvidia Add-in Card-50330 rev b" xfId="409"/>
    <cellStyle name="_RollDM Nvidia P381" xfId="410"/>
    <cellStyle name="_RollDM Nvidia P492 Rev 1" xfId="411"/>
    <cellStyle name="_RollDM nVidia PM132 060929" xfId="412"/>
    <cellStyle name="_RollDM Nvidia PM93 960" xfId="413"/>
    <cellStyle name="_RollDM Nvidia PM93 960 EVGA ON OFF 061024 Revised 1.2" xfId="414"/>
    <cellStyle name="_RollDM PCBA Cost Model_Template 070802 Rev C_Single High Volume Model" xfId="415"/>
    <cellStyle name="_RollDM Template 605" xfId="416"/>
    <cellStyle name="_Salcomp FCA HK Transport Pricing Dec11" xfId="417"/>
    <cellStyle name="_Salcomp FCA HK Transport Pricing Dec11_Lenovo PACK  Packing Proposal" xfId="418"/>
    <cellStyle name="_Salcomp FCA HK Transport Pricing Dec11_Lenovo Park Format_July 07 05" xfId="419"/>
    <cellStyle name="_Salcomp FCA HK Transport Pricing Dec11_Lenovo Park Format_July 07 05V2" xfId="420"/>
    <cellStyle name="_Sheet2" xfId="421"/>
    <cellStyle name="_Sheet2_Kuehne+Nagel Ocean Freight Rate Table 2005" xfId="422"/>
    <cellStyle name="_Sheet2_Kuehne+Nagel Ocean Freight Rate Table1" xfId="423"/>
    <cellStyle name="_SubHeading" xfId="424"/>
    <cellStyle name="_SubHeading_01 VU Liquidity 171202" xfId="425"/>
    <cellStyle name="_SubHeading_20080616_Ownership Structure Walk-Up" xfId="426"/>
    <cellStyle name="_SubHeading_210302 VU Liquidity new figures" xfId="427"/>
    <cellStyle name="_SubHeading_Contribution of assets into USAi_02" xfId="428"/>
    <cellStyle name="_SubHeading_NBC-5 yearDCF-Final from Vivendi modified" xfId="429"/>
    <cellStyle name="_SubHeading_prestemp" xfId="430"/>
    <cellStyle name="_SubHeading_prestemp_USAi Warrants Valuation 1" xfId="431"/>
    <cellStyle name="_SubHeading_Tribune Consolidated Model v578" xfId="432"/>
    <cellStyle name="_Table" xfId="433"/>
    <cellStyle name="_Table_02 Pfd Valuation" xfId="434"/>
    <cellStyle name="_Table_03 Contribution Analysis" xfId="435"/>
    <cellStyle name="_Table_20080616_Ownership Structure Walk-Up" xfId="436"/>
    <cellStyle name="_Table_Contribution of assets into USAi_02" xfId="437"/>
    <cellStyle name="_Table_NBC-5 yearDCF-Final from Vivendi modified" xfId="438"/>
    <cellStyle name="_Table_USA Ownership" xfId="439"/>
    <cellStyle name="_TableHead" xfId="440"/>
    <cellStyle name="_TableHead_03 Contribution Analysis" xfId="441"/>
    <cellStyle name="_TableHead_20080616_Ownership Structure Walk-Up" xfId="442"/>
    <cellStyle name="_TableHead_Basic LBO v06" xfId="443"/>
    <cellStyle name="_TableHead_Black Scholes Model" xfId="444"/>
    <cellStyle name="_TableHeading" xfId="445"/>
    <cellStyle name="_TableRowBorder" xfId="446"/>
    <cellStyle name="_TableRowHead" xfId="447"/>
    <cellStyle name="_TableRowHead_03 Contribution Analysis" xfId="448"/>
    <cellStyle name="_TableRowHead_20080616_Ownership Structure Walk-Up" xfId="449"/>
    <cellStyle name="_TableRowHead_Basic LBO v06" xfId="450"/>
    <cellStyle name="_TableRowHeading" xfId="451"/>
    <cellStyle name="_TableSuperHead" xfId="452"/>
    <cellStyle name="_TableSuperHead_02 Pfd Valuation" xfId="453"/>
    <cellStyle name="_TableSuperHead_03 Contribution Analysis" xfId="454"/>
    <cellStyle name="_TableSuperHead_20080616_Ownership Structure Walk-Up" xfId="455"/>
    <cellStyle name="_TableSuperHead_As the Market has Lower Implied Growth Expectations v2" xfId="456"/>
    <cellStyle name="_TableSuperHead_Basic LBO v06" xfId="457"/>
    <cellStyle name="_TableSuperHead_USA Ownership" xfId="458"/>
    <cellStyle name="_TableSuperHeading" xfId="459"/>
    <cellStyle name="_TableText" xfId="460"/>
    <cellStyle name="_Transportation Charges from DM to Huizhou" xfId="461"/>
    <cellStyle name="_Transportation Charges from DM to Huizhou_Lenovo PACK  Packing Proposal" xfId="462"/>
    <cellStyle name="_Transportation Charges from DM to Huizhou_Lenovo Park Format_July 07 05" xfId="463"/>
    <cellStyle name="_Transportation Charges from DM to Huizhou_Lenovo Park Format_July 07 05V2" xfId="464"/>
    <cellStyle name="_Trt-KX864-CDC-DM-HK-Futian" xfId="465"/>
    <cellStyle name="_Trt-KX864-CDC-DM-HK-Futian_Lenovo PACK  Packing Proposal" xfId="466"/>
    <cellStyle name="_Trt-KX864-CDC-DM-HK-Futian_Lenovo Park Format_July 07 05" xfId="467"/>
    <cellStyle name="_Trt-KX864-CDC-DM-HK-Futian_Lenovo Park Format_July 07 05V2" xfId="468"/>
    <cellStyle name="_WaterfrontRequote0525_DN_(JS)" xfId="469"/>
    <cellStyle name="_XBOX 360 Drum BOM" xfId="470"/>
    <cellStyle name="_XBOX MB repair &amp; refurbish freight cost" xfId="471"/>
    <cellStyle name="_XBOX MB repair &amp; refurbish freight cost_Lenovo PACK  Packing Proposal" xfId="472"/>
    <cellStyle name="_XBOX MB repair &amp; refurbish freight cost_Lenovo Park Format_July 07 05" xfId="473"/>
    <cellStyle name="_XBOX MB repair &amp; refurbish freight cost_Lenovo Park Format_July 07 05V2" xfId="474"/>
    <cellStyle name="_XBOX MB RR Transport Cost - Air  Express 040506R1" xfId="475"/>
    <cellStyle name="_XBOX MB RR Transport Cost - Air  Express 040506R1_Lenovo PACK  Packing Proposal" xfId="476"/>
    <cellStyle name="_XBOX MB RR Transport Cost - Air  Express 040506R1_Lenovo Park Format_July 07 05" xfId="477"/>
    <cellStyle name="_XBOX MB RR Transport Cost - Air  Express 040506R1_Lenovo Park Format_July 07 05V2" xfId="478"/>
    <cellStyle name="_XBOX MB RR Transport Cost - Air &amp; Express 040506R1" xfId="479"/>
    <cellStyle name="_XBOX MB RR Transport Cost - Air &amp; Express 040506R1_Lenovo PACK  Packing Proposal" xfId="480"/>
    <cellStyle name="_XBOX MB RR Transport Cost - Air &amp; Express 040506R1_Lenovo Park Format_July 07 05" xfId="481"/>
    <cellStyle name="_XBOX MB RR Transport Cost - Air &amp; Express 040506R1_Lenovo Park Format_July 07 05V2" xfId="482"/>
    <cellStyle name="_XBOX Total BI Q1'08 0310" xfId="483"/>
    <cellStyle name="’Ê‰Ý [0.00]_Region Orders (2)" xfId="484"/>
    <cellStyle name="’Ê‰Ý_Region Orders (2)" xfId="485"/>
    <cellStyle name="¤@¯ë_pldt" xfId="486"/>
    <cellStyle name="•W_Pacific Region P&amp;L" xfId="487"/>
    <cellStyle name="0,0_x000d__x000a_NA_x000d__x000a_" xfId="488"/>
    <cellStyle name="0dp" xfId="489"/>
    <cellStyle name="20% - Accent1 10" xfId="490"/>
    <cellStyle name="20% - Accent1 10 2" xfId="491"/>
    <cellStyle name="20% - Accent1 10 3" xfId="492"/>
    <cellStyle name="20% - Accent1 11" xfId="493"/>
    <cellStyle name="20% - Accent1 11 2" xfId="494"/>
    <cellStyle name="20% - Accent1 11 3" xfId="495"/>
    <cellStyle name="20% - Accent1 12" xfId="496"/>
    <cellStyle name="20% - Accent1 12 2" xfId="497"/>
    <cellStyle name="20% - Accent1 12 3" xfId="498"/>
    <cellStyle name="20% - Accent1 13" xfId="499"/>
    <cellStyle name="20% - Accent1 13 2" xfId="500"/>
    <cellStyle name="20% - Accent1 13 3" xfId="501"/>
    <cellStyle name="20% - Accent1 14" xfId="502"/>
    <cellStyle name="20% - Accent1 14 2" xfId="503"/>
    <cellStyle name="20% - Accent1 14 3" xfId="504"/>
    <cellStyle name="20% - Accent1 15" xfId="505"/>
    <cellStyle name="20% - Accent1 15 2" xfId="506"/>
    <cellStyle name="20% - Accent1 15 3" xfId="507"/>
    <cellStyle name="20% - Accent1 16" xfId="508"/>
    <cellStyle name="20% - Accent1 17" xfId="509"/>
    <cellStyle name="20% - Accent1 18" xfId="510"/>
    <cellStyle name="20% - Accent1 19" xfId="511"/>
    <cellStyle name="20% - Accent1 2" xfId="512"/>
    <cellStyle name="20% - Accent1 2 10" xfId="513"/>
    <cellStyle name="20% - Accent1 2 11" xfId="514"/>
    <cellStyle name="20% - Accent1 2 12" xfId="515"/>
    <cellStyle name="20% - Accent1 2 13" xfId="516"/>
    <cellStyle name="20% - Accent1 2 14" xfId="517"/>
    <cellStyle name="20% - Accent1 2 15" xfId="518"/>
    <cellStyle name="20% - Accent1 2 2" xfId="519"/>
    <cellStyle name="20% - Accent1 2 3" xfId="520"/>
    <cellStyle name="20% - Accent1 2 4" xfId="521"/>
    <cellStyle name="20% - Accent1 2 5" xfId="522"/>
    <cellStyle name="20% - Accent1 2 6" xfId="523"/>
    <cellStyle name="20% - Accent1 2 7" xfId="524"/>
    <cellStyle name="20% - Accent1 2 8" xfId="525"/>
    <cellStyle name="20% - Accent1 2 9" xfId="526"/>
    <cellStyle name="20% - Accent1 2_Display" xfId="527"/>
    <cellStyle name="20% - Accent1 20" xfId="4314"/>
    <cellStyle name="20% - Accent1 3" xfId="528"/>
    <cellStyle name="20% - Accent1 3 2" xfId="529"/>
    <cellStyle name="20% - Accent1 3 3" xfId="530"/>
    <cellStyle name="20% - Accent1 3 4" xfId="531"/>
    <cellStyle name="20% - Accent1 3 5" xfId="532"/>
    <cellStyle name="20% - Accent1 3 6" xfId="533"/>
    <cellStyle name="20% - Accent1 3 7" xfId="534"/>
    <cellStyle name="20% - Accent1 3 8" xfId="535"/>
    <cellStyle name="20% - Accent1 3_Display" xfId="536"/>
    <cellStyle name="20% - Accent1 4" xfId="537"/>
    <cellStyle name="20% - Accent1 4 2" xfId="538"/>
    <cellStyle name="20% - Accent1 4_Display" xfId="539"/>
    <cellStyle name="20% - Accent1 5" xfId="540"/>
    <cellStyle name="20% - Accent1 5 2" xfId="541"/>
    <cellStyle name="20% - Accent1 5_Display" xfId="542"/>
    <cellStyle name="20% - Accent1 6" xfId="543"/>
    <cellStyle name="20% - Accent1 6 2" xfId="544"/>
    <cellStyle name="20% - Accent1 6_Display" xfId="545"/>
    <cellStyle name="20% - Accent1 7" xfId="546"/>
    <cellStyle name="20% - Accent1 8" xfId="547"/>
    <cellStyle name="20% - Accent1 9" xfId="548"/>
    <cellStyle name="20% - Accent1 9 2" xfId="549"/>
    <cellStyle name="20% - Accent1 9 3" xfId="550"/>
    <cellStyle name="20% - Accent1 9 4" xfId="551"/>
    <cellStyle name="20% - Accent2 10" xfId="552"/>
    <cellStyle name="20% - Accent2 10 2" xfId="553"/>
    <cellStyle name="20% - Accent2 10 3" xfId="554"/>
    <cellStyle name="20% - Accent2 11" xfId="555"/>
    <cellStyle name="20% - Accent2 11 2" xfId="556"/>
    <cellStyle name="20% - Accent2 11 3" xfId="557"/>
    <cellStyle name="20% - Accent2 12" xfId="558"/>
    <cellStyle name="20% - Accent2 12 2" xfId="559"/>
    <cellStyle name="20% - Accent2 12 3" xfId="560"/>
    <cellStyle name="20% - Accent2 13" xfId="561"/>
    <cellStyle name="20% - Accent2 13 2" xfId="562"/>
    <cellStyle name="20% - Accent2 13 3" xfId="563"/>
    <cellStyle name="20% - Accent2 14" xfId="564"/>
    <cellStyle name="20% - Accent2 14 2" xfId="565"/>
    <cellStyle name="20% - Accent2 14 3" xfId="566"/>
    <cellStyle name="20% - Accent2 15" xfId="567"/>
    <cellStyle name="20% - Accent2 15 2" xfId="568"/>
    <cellStyle name="20% - Accent2 15 3" xfId="569"/>
    <cellStyle name="20% - Accent2 16" xfId="570"/>
    <cellStyle name="20% - Accent2 17" xfId="571"/>
    <cellStyle name="20% - Accent2 18" xfId="572"/>
    <cellStyle name="20% - Accent2 19" xfId="573"/>
    <cellStyle name="20% - Accent2 2" xfId="574"/>
    <cellStyle name="20% - Accent2 2 10" xfId="575"/>
    <cellStyle name="20% - Accent2 2 11" xfId="576"/>
    <cellStyle name="20% - Accent2 2 12" xfId="577"/>
    <cellStyle name="20% - Accent2 2 13" xfId="578"/>
    <cellStyle name="20% - Accent2 2 14" xfId="579"/>
    <cellStyle name="20% - Accent2 2 15" xfId="580"/>
    <cellStyle name="20% - Accent2 2 2" xfId="581"/>
    <cellStyle name="20% - Accent2 2 3" xfId="582"/>
    <cellStyle name="20% - Accent2 2 4" xfId="583"/>
    <cellStyle name="20% - Accent2 2 5" xfId="584"/>
    <cellStyle name="20% - Accent2 2 6" xfId="585"/>
    <cellStyle name="20% - Accent2 2 7" xfId="586"/>
    <cellStyle name="20% - Accent2 2 8" xfId="587"/>
    <cellStyle name="20% - Accent2 2 9" xfId="588"/>
    <cellStyle name="20% - Accent2 2_Display" xfId="589"/>
    <cellStyle name="20% - Accent2 20" xfId="4315"/>
    <cellStyle name="20% - Accent2 3" xfId="590"/>
    <cellStyle name="20% - Accent2 3 2" xfId="591"/>
    <cellStyle name="20% - Accent2 3 3" xfId="592"/>
    <cellStyle name="20% - Accent2 3 4" xfId="593"/>
    <cellStyle name="20% - Accent2 3 5" xfId="594"/>
    <cellStyle name="20% - Accent2 3 5 2" xfId="595"/>
    <cellStyle name="20% - Accent2 3 6" xfId="596"/>
    <cellStyle name="20% - Accent2 3 7" xfId="597"/>
    <cellStyle name="20% - Accent2 3 8" xfId="598"/>
    <cellStyle name="20% - Accent2 3 9" xfId="599"/>
    <cellStyle name="20% - Accent2 3_Display" xfId="600"/>
    <cellStyle name="20% - Accent2 4" xfId="601"/>
    <cellStyle name="20% - Accent2 4 2" xfId="602"/>
    <cellStyle name="20% - Accent2 4_Display" xfId="603"/>
    <cellStyle name="20% - Accent2 5" xfId="604"/>
    <cellStyle name="20% - Accent2 5 2" xfId="605"/>
    <cellStyle name="20% - Accent2 5_Display" xfId="606"/>
    <cellStyle name="20% - Accent2 6" xfId="607"/>
    <cellStyle name="20% - Accent2 6 2" xfId="608"/>
    <cellStyle name="20% - Accent2 6_Display" xfId="609"/>
    <cellStyle name="20% - Accent2 7" xfId="610"/>
    <cellStyle name="20% - Accent2 8" xfId="611"/>
    <cellStyle name="20% - Accent2 9" xfId="612"/>
    <cellStyle name="20% - Accent2 9 2" xfId="613"/>
    <cellStyle name="20% - Accent2 9 2 2" xfId="614"/>
    <cellStyle name="20% - Accent2 9 3" xfId="615"/>
    <cellStyle name="20% - Accent2 9 4" xfId="616"/>
    <cellStyle name="20% - Accent2 9 5" xfId="617"/>
    <cellStyle name="20% - Accent3 10" xfId="618"/>
    <cellStyle name="20% - Accent3 10 2" xfId="619"/>
    <cellStyle name="20% - Accent3 10 3" xfId="620"/>
    <cellStyle name="20% - Accent3 11" xfId="621"/>
    <cellStyle name="20% - Accent3 11 2" xfId="622"/>
    <cellStyle name="20% - Accent3 11 3" xfId="623"/>
    <cellStyle name="20% - Accent3 12" xfId="624"/>
    <cellStyle name="20% - Accent3 12 2" xfId="625"/>
    <cellStyle name="20% - Accent3 12 3" xfId="626"/>
    <cellStyle name="20% - Accent3 13" xfId="627"/>
    <cellStyle name="20% - Accent3 13 2" xfId="628"/>
    <cellStyle name="20% - Accent3 13 3" xfId="629"/>
    <cellStyle name="20% - Accent3 14" xfId="630"/>
    <cellStyle name="20% - Accent3 14 2" xfId="631"/>
    <cellStyle name="20% - Accent3 14 3" xfId="632"/>
    <cellStyle name="20% - Accent3 15" xfId="633"/>
    <cellStyle name="20% - Accent3 15 2" xfId="634"/>
    <cellStyle name="20% - Accent3 15 3" xfId="635"/>
    <cellStyle name="20% - Accent3 16" xfId="636"/>
    <cellStyle name="20% - Accent3 17" xfId="637"/>
    <cellStyle name="20% - Accent3 18" xfId="638"/>
    <cellStyle name="20% - Accent3 19" xfId="639"/>
    <cellStyle name="20% - Accent3 2" xfId="640"/>
    <cellStyle name="20% - Accent3 2 10" xfId="641"/>
    <cellStyle name="20% - Accent3 2 11" xfId="642"/>
    <cellStyle name="20% - Accent3 2 12" xfId="643"/>
    <cellStyle name="20% - Accent3 2 13" xfId="644"/>
    <cellStyle name="20% - Accent3 2 14" xfId="645"/>
    <cellStyle name="20% - Accent3 2 15" xfId="646"/>
    <cellStyle name="20% - Accent3 2 2" xfId="647"/>
    <cellStyle name="20% - Accent3 2 3" xfId="648"/>
    <cellStyle name="20% - Accent3 2 4" xfId="649"/>
    <cellStyle name="20% - Accent3 2 5" xfId="650"/>
    <cellStyle name="20% - Accent3 2 6" xfId="651"/>
    <cellStyle name="20% - Accent3 2 7" xfId="652"/>
    <cellStyle name="20% - Accent3 2 8" xfId="653"/>
    <cellStyle name="20% - Accent3 2 9" xfId="654"/>
    <cellStyle name="20% - Accent3 2_Display" xfId="655"/>
    <cellStyle name="20% - Accent3 20" xfId="4316"/>
    <cellStyle name="20% - Accent3 3" xfId="656"/>
    <cellStyle name="20% - Accent3 3 2" xfId="657"/>
    <cellStyle name="20% - Accent3 3 3" xfId="658"/>
    <cellStyle name="20% - Accent3 3 4" xfId="659"/>
    <cellStyle name="20% - Accent3 3 5" xfId="660"/>
    <cellStyle name="20% - Accent3 3 5 2" xfId="661"/>
    <cellStyle name="20% - Accent3 3 6" xfId="662"/>
    <cellStyle name="20% - Accent3 3 7" xfId="663"/>
    <cellStyle name="20% - Accent3 3 8" xfId="664"/>
    <cellStyle name="20% - Accent3 3 9" xfId="665"/>
    <cellStyle name="20% - Accent3 3_Display" xfId="666"/>
    <cellStyle name="20% - Accent3 4" xfId="667"/>
    <cellStyle name="20% - Accent3 4 2" xfId="668"/>
    <cellStyle name="20% - Accent3 4_Display" xfId="669"/>
    <cellStyle name="20% - Accent3 5" xfId="670"/>
    <cellStyle name="20% - Accent3 5 2" xfId="671"/>
    <cellStyle name="20% - Accent3 5_Display" xfId="672"/>
    <cellStyle name="20% - Accent3 6" xfId="673"/>
    <cellStyle name="20% - Accent3 6 2" xfId="674"/>
    <cellStyle name="20% - Accent3 6_Display" xfId="675"/>
    <cellStyle name="20% - Accent3 7" xfId="676"/>
    <cellStyle name="20% - Accent3 8" xfId="677"/>
    <cellStyle name="20% - Accent3 9" xfId="678"/>
    <cellStyle name="20% - Accent3 9 2" xfId="679"/>
    <cellStyle name="20% - Accent3 9 2 2" xfId="680"/>
    <cellStyle name="20% - Accent3 9 3" xfId="681"/>
    <cellStyle name="20% - Accent3 9 4" xfId="682"/>
    <cellStyle name="20% - Accent3 9 5" xfId="683"/>
    <cellStyle name="20% - Accent4 10" xfId="684"/>
    <cellStyle name="20% - Accent4 10 2" xfId="685"/>
    <cellStyle name="20% - Accent4 10 3" xfId="686"/>
    <cellStyle name="20% - Accent4 11" xfId="687"/>
    <cellStyle name="20% - Accent4 11 2" xfId="688"/>
    <cellStyle name="20% - Accent4 11 3" xfId="689"/>
    <cellStyle name="20% - Accent4 12" xfId="690"/>
    <cellStyle name="20% - Accent4 12 2" xfId="691"/>
    <cellStyle name="20% - Accent4 12 3" xfId="692"/>
    <cellStyle name="20% - Accent4 13" xfId="693"/>
    <cellStyle name="20% - Accent4 13 2" xfId="694"/>
    <cellStyle name="20% - Accent4 13 3" xfId="695"/>
    <cellStyle name="20% - Accent4 14" xfId="696"/>
    <cellStyle name="20% - Accent4 14 2" xfId="697"/>
    <cellStyle name="20% - Accent4 14 3" xfId="698"/>
    <cellStyle name="20% - Accent4 15" xfId="699"/>
    <cellStyle name="20% - Accent4 15 2" xfId="700"/>
    <cellStyle name="20% - Accent4 15 3" xfId="701"/>
    <cellStyle name="20% - Accent4 16" xfId="702"/>
    <cellStyle name="20% - Accent4 17" xfId="703"/>
    <cellStyle name="20% - Accent4 18" xfId="704"/>
    <cellStyle name="20% - Accent4 19" xfId="705"/>
    <cellStyle name="20% - Accent4 2" xfId="706"/>
    <cellStyle name="20% - Accent4 2 10" xfId="707"/>
    <cellStyle name="20% - Accent4 2 11" xfId="708"/>
    <cellStyle name="20% - Accent4 2 12" xfId="709"/>
    <cellStyle name="20% - Accent4 2 13" xfId="710"/>
    <cellStyle name="20% - Accent4 2 14" xfId="711"/>
    <cellStyle name="20% - Accent4 2 15" xfId="712"/>
    <cellStyle name="20% - Accent4 2 2" xfId="713"/>
    <cellStyle name="20% - Accent4 2 3" xfId="714"/>
    <cellStyle name="20% - Accent4 2 4" xfId="715"/>
    <cellStyle name="20% - Accent4 2 5" xfId="716"/>
    <cellStyle name="20% - Accent4 2 6" xfId="717"/>
    <cellStyle name="20% - Accent4 2 7" xfId="718"/>
    <cellStyle name="20% - Accent4 2 8" xfId="719"/>
    <cellStyle name="20% - Accent4 2 9" xfId="720"/>
    <cellStyle name="20% - Accent4 2_Display" xfId="721"/>
    <cellStyle name="20% - Accent4 20" xfId="4317"/>
    <cellStyle name="20% - Accent4 3" xfId="722"/>
    <cellStyle name="20% - Accent4 3 2" xfId="723"/>
    <cellStyle name="20% - Accent4 3 3" xfId="724"/>
    <cellStyle name="20% - Accent4 3 4" xfId="725"/>
    <cellStyle name="20% - Accent4 3 5" xfId="726"/>
    <cellStyle name="20% - Accent4 3 5 2" xfId="727"/>
    <cellStyle name="20% - Accent4 3 6" xfId="728"/>
    <cellStyle name="20% - Accent4 3 7" xfId="729"/>
    <cellStyle name="20% - Accent4 3 8" xfId="730"/>
    <cellStyle name="20% - Accent4 3 9" xfId="731"/>
    <cellStyle name="20% - Accent4 3_Display" xfId="732"/>
    <cellStyle name="20% - Accent4 4" xfId="733"/>
    <cellStyle name="20% - Accent4 4 2" xfId="734"/>
    <cellStyle name="20% - Accent4 4_Display" xfId="735"/>
    <cellStyle name="20% - Accent4 5" xfId="736"/>
    <cellStyle name="20% - Accent4 5 2" xfId="737"/>
    <cellStyle name="20% - Accent4 5_Display" xfId="738"/>
    <cellStyle name="20% - Accent4 6" xfId="739"/>
    <cellStyle name="20% - Accent4 6 2" xfId="740"/>
    <cellStyle name="20% - Accent4 6_Display" xfId="741"/>
    <cellStyle name="20% - Accent4 7" xfId="742"/>
    <cellStyle name="20% - Accent4 8" xfId="743"/>
    <cellStyle name="20% - Accent4 9" xfId="744"/>
    <cellStyle name="20% - Accent4 9 2" xfId="745"/>
    <cellStyle name="20% - Accent4 9 2 2" xfId="746"/>
    <cellStyle name="20% - Accent4 9 3" xfId="747"/>
    <cellStyle name="20% - Accent4 9 4" xfId="748"/>
    <cellStyle name="20% - Accent4 9 5" xfId="749"/>
    <cellStyle name="20% - Accent5 10" xfId="750"/>
    <cellStyle name="20% - Accent5 10 2" xfId="751"/>
    <cellStyle name="20% - Accent5 10 3" xfId="752"/>
    <cellStyle name="20% - Accent5 11" xfId="753"/>
    <cellStyle name="20% - Accent5 11 2" xfId="754"/>
    <cellStyle name="20% - Accent5 11 3" xfId="755"/>
    <cellStyle name="20% - Accent5 12" xfId="756"/>
    <cellStyle name="20% - Accent5 12 2" xfId="757"/>
    <cellStyle name="20% - Accent5 12 3" xfId="758"/>
    <cellStyle name="20% - Accent5 13" xfId="759"/>
    <cellStyle name="20% - Accent5 13 2" xfId="760"/>
    <cellStyle name="20% - Accent5 13 3" xfId="761"/>
    <cellStyle name="20% - Accent5 14" xfId="762"/>
    <cellStyle name="20% - Accent5 14 2" xfId="763"/>
    <cellStyle name="20% - Accent5 14 3" xfId="764"/>
    <cellStyle name="20% - Accent5 15" xfId="765"/>
    <cellStyle name="20% - Accent5 15 2" xfId="766"/>
    <cellStyle name="20% - Accent5 15 3" xfId="767"/>
    <cellStyle name="20% - Accent5 16" xfId="768"/>
    <cellStyle name="20% - Accent5 17" xfId="769"/>
    <cellStyle name="20% - Accent5 18" xfId="770"/>
    <cellStyle name="20% - Accent5 19" xfId="771"/>
    <cellStyle name="20% - Accent5 2" xfId="772"/>
    <cellStyle name="20% - Accent5 2 10" xfId="773"/>
    <cellStyle name="20% - Accent5 2 11" xfId="774"/>
    <cellStyle name="20% - Accent5 2 12" xfId="775"/>
    <cellStyle name="20% - Accent5 2 13" xfId="776"/>
    <cellStyle name="20% - Accent5 2 14" xfId="777"/>
    <cellStyle name="20% - Accent5 2 15" xfId="778"/>
    <cellStyle name="20% - Accent5 2 2" xfId="779"/>
    <cellStyle name="20% - Accent5 2 3" xfId="780"/>
    <cellStyle name="20% - Accent5 2 4" xfId="781"/>
    <cellStyle name="20% - Accent5 2 5" xfId="782"/>
    <cellStyle name="20% - Accent5 2 6" xfId="783"/>
    <cellStyle name="20% - Accent5 2 7" xfId="784"/>
    <cellStyle name="20% - Accent5 2 8" xfId="785"/>
    <cellStyle name="20% - Accent5 2 9" xfId="786"/>
    <cellStyle name="20% - Accent5 2_Display" xfId="787"/>
    <cellStyle name="20% - Accent5 20" xfId="4318"/>
    <cellStyle name="20% - Accent5 3" xfId="788"/>
    <cellStyle name="20% - Accent5 3 2" xfId="789"/>
    <cellStyle name="20% - Accent5 3 3" xfId="790"/>
    <cellStyle name="20% - Accent5 3 4" xfId="791"/>
    <cellStyle name="20% - Accent5 3 5" xfId="792"/>
    <cellStyle name="20% - Accent5 3 6" xfId="793"/>
    <cellStyle name="20% - Accent5 3 7" xfId="794"/>
    <cellStyle name="20% - Accent5 3 8" xfId="795"/>
    <cellStyle name="20% - Accent5 3_Display" xfId="796"/>
    <cellStyle name="20% - Accent5 4" xfId="797"/>
    <cellStyle name="20% - Accent5 4 2" xfId="798"/>
    <cellStyle name="20% - Accent5 4_Display" xfId="799"/>
    <cellStyle name="20% - Accent5 5" xfId="800"/>
    <cellStyle name="20% - Accent5 5 2" xfId="801"/>
    <cellStyle name="20% - Accent5 5_Display" xfId="802"/>
    <cellStyle name="20% - Accent5 6" xfId="803"/>
    <cellStyle name="20% - Accent5 6 2" xfId="804"/>
    <cellStyle name="20% - Accent5 6_Display" xfId="805"/>
    <cellStyle name="20% - Accent5 7" xfId="806"/>
    <cellStyle name="20% - Accent5 8" xfId="807"/>
    <cellStyle name="20% - Accent5 9" xfId="808"/>
    <cellStyle name="20% - Accent5 9 2" xfId="809"/>
    <cellStyle name="20% - Accent5 9 3" xfId="810"/>
    <cellStyle name="20% - Accent5 9 4" xfId="811"/>
    <cellStyle name="20% - Accent6 10" xfId="812"/>
    <cellStyle name="20% - Accent6 10 2" xfId="813"/>
    <cellStyle name="20% - Accent6 10 3" xfId="814"/>
    <cellStyle name="20% - Accent6 11" xfId="815"/>
    <cellStyle name="20% - Accent6 11 2" xfId="816"/>
    <cellStyle name="20% - Accent6 11 3" xfId="817"/>
    <cellStyle name="20% - Accent6 12" xfId="818"/>
    <cellStyle name="20% - Accent6 12 2" xfId="819"/>
    <cellStyle name="20% - Accent6 12 3" xfId="820"/>
    <cellStyle name="20% - Accent6 13" xfId="821"/>
    <cellStyle name="20% - Accent6 13 2" xfId="822"/>
    <cellStyle name="20% - Accent6 13 3" xfId="823"/>
    <cellStyle name="20% - Accent6 14" xfId="824"/>
    <cellStyle name="20% - Accent6 14 2" xfId="825"/>
    <cellStyle name="20% - Accent6 14 3" xfId="826"/>
    <cellStyle name="20% - Accent6 15" xfId="827"/>
    <cellStyle name="20% - Accent6 15 2" xfId="828"/>
    <cellStyle name="20% - Accent6 15 3" xfId="829"/>
    <cellStyle name="20% - Accent6 16" xfId="830"/>
    <cellStyle name="20% - Accent6 17" xfId="831"/>
    <cellStyle name="20% - Accent6 18" xfId="832"/>
    <cellStyle name="20% - Accent6 19" xfId="833"/>
    <cellStyle name="20% - Accent6 2" xfId="834"/>
    <cellStyle name="20% - Accent6 2 10" xfId="835"/>
    <cellStyle name="20% - Accent6 2 11" xfId="836"/>
    <cellStyle name="20% - Accent6 2 12" xfId="837"/>
    <cellStyle name="20% - Accent6 2 13" xfId="838"/>
    <cellStyle name="20% - Accent6 2 14" xfId="839"/>
    <cellStyle name="20% - Accent6 2 15" xfId="840"/>
    <cellStyle name="20% - Accent6 2 2" xfId="841"/>
    <cellStyle name="20% - Accent6 2 3" xfId="842"/>
    <cellStyle name="20% - Accent6 2 4" xfId="843"/>
    <cellStyle name="20% - Accent6 2 5" xfId="844"/>
    <cellStyle name="20% - Accent6 2 6" xfId="845"/>
    <cellStyle name="20% - Accent6 2 7" xfId="846"/>
    <cellStyle name="20% - Accent6 2 8" xfId="847"/>
    <cellStyle name="20% - Accent6 2 9" xfId="848"/>
    <cellStyle name="20% - Accent6 2_Display" xfId="849"/>
    <cellStyle name="20% - Accent6 20" xfId="4319"/>
    <cellStyle name="20% - Accent6 3" xfId="850"/>
    <cellStyle name="20% - Accent6 3 2" xfId="851"/>
    <cellStyle name="20% - Accent6 3 3" xfId="852"/>
    <cellStyle name="20% - Accent6 3 4" xfId="853"/>
    <cellStyle name="20% - Accent6 3 5" xfId="854"/>
    <cellStyle name="20% - Accent6 3 5 2" xfId="855"/>
    <cellStyle name="20% - Accent6 3 6" xfId="856"/>
    <cellStyle name="20% - Accent6 3 7" xfId="857"/>
    <cellStyle name="20% - Accent6 3 8" xfId="858"/>
    <cellStyle name="20% - Accent6 3 9" xfId="859"/>
    <cellStyle name="20% - Accent6 3_Display" xfId="860"/>
    <cellStyle name="20% - Accent6 4" xfId="861"/>
    <cellStyle name="20% - Accent6 4 2" xfId="862"/>
    <cellStyle name="20% - Accent6 4_Display" xfId="863"/>
    <cellStyle name="20% - Accent6 5" xfId="864"/>
    <cellStyle name="20% - Accent6 5 2" xfId="865"/>
    <cellStyle name="20% - Accent6 5_Display" xfId="866"/>
    <cellStyle name="20% - Accent6 6" xfId="867"/>
    <cellStyle name="20% - Accent6 6 2" xfId="868"/>
    <cellStyle name="20% - Accent6 6_Display" xfId="869"/>
    <cellStyle name="20% - Accent6 7" xfId="870"/>
    <cellStyle name="20% - Accent6 8" xfId="871"/>
    <cellStyle name="20% - Accent6 9" xfId="872"/>
    <cellStyle name="20% - Accent6 9 2" xfId="873"/>
    <cellStyle name="20% - Accent6 9 2 2" xfId="874"/>
    <cellStyle name="20% - Accent6 9 3" xfId="875"/>
    <cellStyle name="20% - Accent6 9 4" xfId="876"/>
    <cellStyle name="20% - Accent6 9 5" xfId="877"/>
    <cellStyle name="20% - 强调文字颜色 1" xfId="878"/>
    <cellStyle name="20% - 强调文字颜色 2" xfId="879"/>
    <cellStyle name="20% - 强调文字颜色 3" xfId="880"/>
    <cellStyle name="20% - 强调文字颜色 4" xfId="881"/>
    <cellStyle name="20% - 强调文字颜色 5" xfId="882"/>
    <cellStyle name="20% - 强调文字颜色 6" xfId="883"/>
    <cellStyle name="20% - 輔色1" xfId="884"/>
    <cellStyle name="20% - 輔色2" xfId="885"/>
    <cellStyle name="20% - 輔色3" xfId="886"/>
    <cellStyle name="20% - 輔色4" xfId="887"/>
    <cellStyle name="20% - 輔色5" xfId="888"/>
    <cellStyle name="20% - 輔色6" xfId="889"/>
    <cellStyle name="3232" xfId="890"/>
    <cellStyle name="³f¹ô[0]_pldt" xfId="891"/>
    <cellStyle name="³f¹ô_pldt" xfId="892"/>
    <cellStyle name="40% - Accent1 10" xfId="893"/>
    <cellStyle name="40% - Accent1 10 2" xfId="894"/>
    <cellStyle name="40% - Accent1 10 3" xfId="895"/>
    <cellStyle name="40% - Accent1 11" xfId="896"/>
    <cellStyle name="40% - Accent1 11 2" xfId="897"/>
    <cellStyle name="40% - Accent1 11 3" xfId="898"/>
    <cellStyle name="40% - Accent1 12" xfId="899"/>
    <cellStyle name="40% - Accent1 12 2" xfId="900"/>
    <cellStyle name="40% - Accent1 12 3" xfId="901"/>
    <cellStyle name="40% - Accent1 13" xfId="902"/>
    <cellStyle name="40% - Accent1 13 2" xfId="903"/>
    <cellStyle name="40% - Accent1 13 3" xfId="904"/>
    <cellStyle name="40% - Accent1 14" xfId="905"/>
    <cellStyle name="40% - Accent1 14 2" xfId="906"/>
    <cellStyle name="40% - Accent1 14 3" xfId="907"/>
    <cellStyle name="40% - Accent1 15" xfId="908"/>
    <cellStyle name="40% - Accent1 15 2" xfId="909"/>
    <cellStyle name="40% - Accent1 15 3" xfId="910"/>
    <cellStyle name="40% - Accent1 16" xfId="911"/>
    <cellStyle name="40% - Accent1 17" xfId="912"/>
    <cellStyle name="40% - Accent1 18" xfId="913"/>
    <cellStyle name="40% - Accent1 19" xfId="914"/>
    <cellStyle name="40% - Accent1 2" xfId="915"/>
    <cellStyle name="40% - Accent1 2 10" xfId="916"/>
    <cellStyle name="40% - Accent1 2 11" xfId="917"/>
    <cellStyle name="40% - Accent1 2 12" xfId="918"/>
    <cellStyle name="40% - Accent1 2 13" xfId="919"/>
    <cellStyle name="40% - Accent1 2 14" xfId="920"/>
    <cellStyle name="40% - Accent1 2 15" xfId="921"/>
    <cellStyle name="40% - Accent1 2 2" xfId="922"/>
    <cellStyle name="40% - Accent1 2 3" xfId="923"/>
    <cellStyle name="40% - Accent1 2 4" xfId="924"/>
    <cellStyle name="40% - Accent1 2 5" xfId="925"/>
    <cellStyle name="40% - Accent1 2 6" xfId="926"/>
    <cellStyle name="40% - Accent1 2 7" xfId="927"/>
    <cellStyle name="40% - Accent1 2 8" xfId="928"/>
    <cellStyle name="40% - Accent1 2 9" xfId="929"/>
    <cellStyle name="40% - Accent1 2_Display" xfId="930"/>
    <cellStyle name="40% - Accent1 20" xfId="4320"/>
    <cellStyle name="40% - Accent1 3" xfId="931"/>
    <cellStyle name="40% - Accent1 3 2" xfId="932"/>
    <cellStyle name="40% - Accent1 3 3" xfId="933"/>
    <cellStyle name="40% - Accent1 3 4" xfId="934"/>
    <cellStyle name="40% - Accent1 3 5" xfId="935"/>
    <cellStyle name="40% - Accent1 3 5 2" xfId="936"/>
    <cellStyle name="40% - Accent1 3 6" xfId="937"/>
    <cellStyle name="40% - Accent1 3 7" xfId="938"/>
    <cellStyle name="40% - Accent1 3 8" xfId="939"/>
    <cellStyle name="40% - Accent1 3 9" xfId="940"/>
    <cellStyle name="40% - Accent1 3_Display" xfId="941"/>
    <cellStyle name="40% - Accent1 4" xfId="942"/>
    <cellStyle name="40% - Accent1 4 2" xfId="943"/>
    <cellStyle name="40% - Accent1 4_Display" xfId="944"/>
    <cellStyle name="40% - Accent1 5" xfId="945"/>
    <cellStyle name="40% - Accent1 5 2" xfId="946"/>
    <cellStyle name="40% - Accent1 5_Display" xfId="947"/>
    <cellStyle name="40% - Accent1 6" xfId="948"/>
    <cellStyle name="40% - Accent1 6 2" xfId="949"/>
    <cellStyle name="40% - Accent1 6_Display" xfId="950"/>
    <cellStyle name="40% - Accent1 7" xfId="951"/>
    <cellStyle name="40% - Accent1 8" xfId="952"/>
    <cellStyle name="40% - Accent1 9" xfId="953"/>
    <cellStyle name="40% - Accent1 9 2" xfId="954"/>
    <cellStyle name="40% - Accent1 9 2 2" xfId="955"/>
    <cellStyle name="40% - Accent1 9 3" xfId="956"/>
    <cellStyle name="40% - Accent1 9 4" xfId="957"/>
    <cellStyle name="40% - Accent1 9 5" xfId="958"/>
    <cellStyle name="40% - Accent2 10" xfId="959"/>
    <cellStyle name="40% - Accent2 10 2" xfId="960"/>
    <cellStyle name="40% - Accent2 10 3" xfId="961"/>
    <cellStyle name="40% - Accent2 11" xfId="962"/>
    <cellStyle name="40% - Accent2 11 2" xfId="963"/>
    <cellStyle name="40% - Accent2 11 3" xfId="964"/>
    <cellStyle name="40% - Accent2 12" xfId="965"/>
    <cellStyle name="40% - Accent2 12 2" xfId="966"/>
    <cellStyle name="40% - Accent2 12 3" xfId="967"/>
    <cellStyle name="40% - Accent2 13" xfId="968"/>
    <cellStyle name="40% - Accent2 13 2" xfId="969"/>
    <cellStyle name="40% - Accent2 13 3" xfId="970"/>
    <cellStyle name="40% - Accent2 14" xfId="971"/>
    <cellStyle name="40% - Accent2 14 2" xfId="972"/>
    <cellStyle name="40% - Accent2 14 3" xfId="973"/>
    <cellStyle name="40% - Accent2 15" xfId="974"/>
    <cellStyle name="40% - Accent2 15 2" xfId="975"/>
    <cellStyle name="40% - Accent2 15 3" xfId="976"/>
    <cellStyle name="40% - Accent2 16" xfId="977"/>
    <cellStyle name="40% - Accent2 17" xfId="978"/>
    <cellStyle name="40% - Accent2 18" xfId="979"/>
    <cellStyle name="40% - Accent2 19" xfId="980"/>
    <cellStyle name="40% - Accent2 2" xfId="981"/>
    <cellStyle name="40% - Accent2 2 10" xfId="982"/>
    <cellStyle name="40% - Accent2 2 11" xfId="983"/>
    <cellStyle name="40% - Accent2 2 12" xfId="984"/>
    <cellStyle name="40% - Accent2 2 13" xfId="985"/>
    <cellStyle name="40% - Accent2 2 14" xfId="986"/>
    <cellStyle name="40% - Accent2 2 15" xfId="987"/>
    <cellStyle name="40% - Accent2 2 2" xfId="988"/>
    <cellStyle name="40% - Accent2 2 3" xfId="989"/>
    <cellStyle name="40% - Accent2 2 4" xfId="990"/>
    <cellStyle name="40% - Accent2 2 5" xfId="991"/>
    <cellStyle name="40% - Accent2 2 6" xfId="992"/>
    <cellStyle name="40% - Accent2 2 7" xfId="993"/>
    <cellStyle name="40% - Accent2 2 8" xfId="994"/>
    <cellStyle name="40% - Accent2 2 9" xfId="995"/>
    <cellStyle name="40% - Accent2 2_Display" xfId="996"/>
    <cellStyle name="40% - Accent2 20" xfId="4321"/>
    <cellStyle name="40% - Accent2 3" xfId="997"/>
    <cellStyle name="40% - Accent2 3 2" xfId="998"/>
    <cellStyle name="40% - Accent2 3 3" xfId="999"/>
    <cellStyle name="40% - Accent2 3 4" xfId="1000"/>
    <cellStyle name="40% - Accent2 3 5" xfId="1001"/>
    <cellStyle name="40% - Accent2 3 5 2" xfId="1002"/>
    <cellStyle name="40% - Accent2 3 6" xfId="1003"/>
    <cellStyle name="40% - Accent2 3 7" xfId="1004"/>
    <cellStyle name="40% - Accent2 3 8" xfId="1005"/>
    <cellStyle name="40% - Accent2 3 9" xfId="1006"/>
    <cellStyle name="40% - Accent2 3_Display" xfId="1007"/>
    <cellStyle name="40% - Accent2 4" xfId="1008"/>
    <cellStyle name="40% - Accent2 4 2" xfId="1009"/>
    <cellStyle name="40% - Accent2 4_Display" xfId="1010"/>
    <cellStyle name="40% - Accent2 5" xfId="1011"/>
    <cellStyle name="40% - Accent2 5 2" xfId="1012"/>
    <cellStyle name="40% - Accent2 5_Display" xfId="1013"/>
    <cellStyle name="40% - Accent2 6" xfId="1014"/>
    <cellStyle name="40% - Accent2 6 2" xfId="1015"/>
    <cellStyle name="40% - Accent2 6_Display" xfId="1016"/>
    <cellStyle name="40% - Accent2 7" xfId="1017"/>
    <cellStyle name="40% - Accent2 8" xfId="1018"/>
    <cellStyle name="40% - Accent2 9" xfId="1019"/>
    <cellStyle name="40% - Accent2 9 2" xfId="1020"/>
    <cellStyle name="40% - Accent2 9 2 2" xfId="1021"/>
    <cellStyle name="40% - Accent2 9 3" xfId="1022"/>
    <cellStyle name="40% - Accent2 9 4" xfId="1023"/>
    <cellStyle name="40% - Accent2 9 5" xfId="1024"/>
    <cellStyle name="40% - Accent3 10" xfId="1025"/>
    <cellStyle name="40% - Accent3 10 2" xfId="1026"/>
    <cellStyle name="40% - Accent3 10 3" xfId="1027"/>
    <cellStyle name="40% - Accent3 11" xfId="1028"/>
    <cellStyle name="40% - Accent3 11 2" xfId="1029"/>
    <cellStyle name="40% - Accent3 11 3" xfId="1030"/>
    <cellStyle name="40% - Accent3 12" xfId="1031"/>
    <cellStyle name="40% - Accent3 12 2" xfId="1032"/>
    <cellStyle name="40% - Accent3 12 3" xfId="1033"/>
    <cellStyle name="40% - Accent3 13" xfId="1034"/>
    <cellStyle name="40% - Accent3 13 2" xfId="1035"/>
    <cellStyle name="40% - Accent3 13 3" xfId="1036"/>
    <cellStyle name="40% - Accent3 14" xfId="1037"/>
    <cellStyle name="40% - Accent3 14 2" xfId="1038"/>
    <cellStyle name="40% - Accent3 14 3" xfId="1039"/>
    <cellStyle name="40% - Accent3 15" xfId="1040"/>
    <cellStyle name="40% - Accent3 15 2" xfId="1041"/>
    <cellStyle name="40% - Accent3 15 3" xfId="1042"/>
    <cellStyle name="40% - Accent3 16" xfId="1043"/>
    <cellStyle name="40% - Accent3 17" xfId="1044"/>
    <cellStyle name="40% - Accent3 18" xfId="1045"/>
    <cellStyle name="40% - Accent3 19" xfId="1046"/>
    <cellStyle name="40% - Accent3 2" xfId="1047"/>
    <cellStyle name="40% - Accent3 2 10" xfId="1048"/>
    <cellStyle name="40% - Accent3 2 11" xfId="1049"/>
    <cellStyle name="40% - Accent3 2 12" xfId="1050"/>
    <cellStyle name="40% - Accent3 2 13" xfId="1051"/>
    <cellStyle name="40% - Accent3 2 14" xfId="1052"/>
    <cellStyle name="40% - Accent3 2 15" xfId="1053"/>
    <cellStyle name="40% - Accent3 2 2" xfId="1054"/>
    <cellStyle name="40% - Accent3 2 3" xfId="1055"/>
    <cellStyle name="40% - Accent3 2 4" xfId="1056"/>
    <cellStyle name="40% - Accent3 2 5" xfId="1057"/>
    <cellStyle name="40% - Accent3 2 6" xfId="1058"/>
    <cellStyle name="40% - Accent3 2 7" xfId="1059"/>
    <cellStyle name="40% - Accent3 2 8" xfId="1060"/>
    <cellStyle name="40% - Accent3 2 9" xfId="1061"/>
    <cellStyle name="40% - Accent3 2_Display" xfId="1062"/>
    <cellStyle name="40% - Accent3 20" xfId="4322"/>
    <cellStyle name="40% - Accent3 3" xfId="1063"/>
    <cellStyle name="40% - Accent3 3 2" xfId="1064"/>
    <cellStyle name="40% - Accent3 3 3" xfId="1065"/>
    <cellStyle name="40% - Accent3 3 4" xfId="1066"/>
    <cellStyle name="40% - Accent3 3 5" xfId="1067"/>
    <cellStyle name="40% - Accent3 3 5 2" xfId="1068"/>
    <cellStyle name="40% - Accent3 3 6" xfId="1069"/>
    <cellStyle name="40% - Accent3 3 7" xfId="1070"/>
    <cellStyle name="40% - Accent3 3 8" xfId="1071"/>
    <cellStyle name="40% - Accent3 3 9" xfId="1072"/>
    <cellStyle name="40% - Accent3 3_Display" xfId="1073"/>
    <cellStyle name="40% - Accent3 4" xfId="1074"/>
    <cellStyle name="40% - Accent3 4 2" xfId="1075"/>
    <cellStyle name="40% - Accent3 4_Display" xfId="1076"/>
    <cellStyle name="40% - Accent3 5" xfId="1077"/>
    <cellStyle name="40% - Accent3 5 2" xfId="1078"/>
    <cellStyle name="40% - Accent3 5_Display" xfId="1079"/>
    <cellStyle name="40% - Accent3 6" xfId="1080"/>
    <cellStyle name="40% - Accent3 6 2" xfId="1081"/>
    <cellStyle name="40% - Accent3 6_Display" xfId="1082"/>
    <cellStyle name="40% - Accent3 7" xfId="1083"/>
    <cellStyle name="40% - Accent3 8" xfId="1084"/>
    <cellStyle name="40% - Accent3 9" xfId="1085"/>
    <cellStyle name="40% - Accent3 9 2" xfId="1086"/>
    <cellStyle name="40% - Accent3 9 2 2" xfId="1087"/>
    <cellStyle name="40% - Accent3 9 3" xfId="1088"/>
    <cellStyle name="40% - Accent3 9 4" xfId="1089"/>
    <cellStyle name="40% - Accent3 9 5" xfId="1090"/>
    <cellStyle name="40% - Accent4 10" xfId="1091"/>
    <cellStyle name="40% - Accent4 10 2" xfId="1092"/>
    <cellStyle name="40% - Accent4 10 3" xfId="1093"/>
    <cellStyle name="40% - Accent4 11" xfId="1094"/>
    <cellStyle name="40% - Accent4 11 2" xfId="1095"/>
    <cellStyle name="40% - Accent4 11 3" xfId="1096"/>
    <cellStyle name="40% - Accent4 12" xfId="1097"/>
    <cellStyle name="40% - Accent4 12 2" xfId="1098"/>
    <cellStyle name="40% - Accent4 12 3" xfId="1099"/>
    <cellStyle name="40% - Accent4 13" xfId="1100"/>
    <cellStyle name="40% - Accent4 13 2" xfId="1101"/>
    <cellStyle name="40% - Accent4 13 3" xfId="1102"/>
    <cellStyle name="40% - Accent4 14" xfId="1103"/>
    <cellStyle name="40% - Accent4 14 2" xfId="1104"/>
    <cellStyle name="40% - Accent4 14 3" xfId="1105"/>
    <cellStyle name="40% - Accent4 15" xfId="1106"/>
    <cellStyle name="40% - Accent4 15 2" xfId="1107"/>
    <cellStyle name="40% - Accent4 15 3" xfId="1108"/>
    <cellStyle name="40% - Accent4 16" xfId="1109"/>
    <cellStyle name="40% - Accent4 17" xfId="1110"/>
    <cellStyle name="40% - Accent4 18" xfId="1111"/>
    <cellStyle name="40% - Accent4 19" xfId="1112"/>
    <cellStyle name="40% - Accent4 2" xfId="1113"/>
    <cellStyle name="40% - Accent4 2 10" xfId="1114"/>
    <cellStyle name="40% - Accent4 2 11" xfId="1115"/>
    <cellStyle name="40% - Accent4 2 12" xfId="1116"/>
    <cellStyle name="40% - Accent4 2 13" xfId="1117"/>
    <cellStyle name="40% - Accent4 2 14" xfId="1118"/>
    <cellStyle name="40% - Accent4 2 15" xfId="1119"/>
    <cellStyle name="40% - Accent4 2 2" xfId="1120"/>
    <cellStyle name="40% - Accent4 2 3" xfId="1121"/>
    <cellStyle name="40% - Accent4 2 4" xfId="1122"/>
    <cellStyle name="40% - Accent4 2 5" xfId="1123"/>
    <cellStyle name="40% - Accent4 2 6" xfId="1124"/>
    <cellStyle name="40% - Accent4 2 7" xfId="1125"/>
    <cellStyle name="40% - Accent4 2 8" xfId="1126"/>
    <cellStyle name="40% - Accent4 2 9" xfId="1127"/>
    <cellStyle name="40% - Accent4 2_Display" xfId="1128"/>
    <cellStyle name="40% - Accent4 20" xfId="4323"/>
    <cellStyle name="40% - Accent4 3" xfId="1129"/>
    <cellStyle name="40% - Accent4 3 2" xfId="1130"/>
    <cellStyle name="40% - Accent4 3 3" xfId="1131"/>
    <cellStyle name="40% - Accent4 3 4" xfId="1132"/>
    <cellStyle name="40% - Accent4 3 5" xfId="1133"/>
    <cellStyle name="40% - Accent4 3 5 2" xfId="1134"/>
    <cellStyle name="40% - Accent4 3 6" xfId="1135"/>
    <cellStyle name="40% - Accent4 3 7" xfId="1136"/>
    <cellStyle name="40% - Accent4 3 8" xfId="1137"/>
    <cellStyle name="40% - Accent4 3 9" xfId="1138"/>
    <cellStyle name="40% - Accent4 3_Display" xfId="1139"/>
    <cellStyle name="40% - Accent4 4" xfId="1140"/>
    <cellStyle name="40% - Accent4 4 2" xfId="1141"/>
    <cellStyle name="40% - Accent4 4_Display" xfId="1142"/>
    <cellStyle name="40% - Accent4 5" xfId="1143"/>
    <cellStyle name="40% - Accent4 5 2" xfId="1144"/>
    <cellStyle name="40% - Accent4 5_Display" xfId="1145"/>
    <cellStyle name="40% - Accent4 6" xfId="1146"/>
    <cellStyle name="40% - Accent4 6 2" xfId="1147"/>
    <cellStyle name="40% - Accent4 6_Display" xfId="1148"/>
    <cellStyle name="40% - Accent4 7" xfId="1149"/>
    <cellStyle name="40% - Accent4 8" xfId="1150"/>
    <cellStyle name="40% - Accent4 9" xfId="1151"/>
    <cellStyle name="40% - Accent4 9 2" xfId="1152"/>
    <cellStyle name="40% - Accent4 9 2 2" xfId="1153"/>
    <cellStyle name="40% - Accent4 9 3" xfId="1154"/>
    <cellStyle name="40% - Accent4 9 4" xfId="1155"/>
    <cellStyle name="40% - Accent4 9 5" xfId="1156"/>
    <cellStyle name="40% - Accent5 10" xfId="1157"/>
    <cellStyle name="40% - Accent5 10 2" xfId="1158"/>
    <cellStyle name="40% - Accent5 10 3" xfId="1159"/>
    <cellStyle name="40% - Accent5 11" xfId="1160"/>
    <cellStyle name="40% - Accent5 11 2" xfId="1161"/>
    <cellStyle name="40% - Accent5 11 3" xfId="1162"/>
    <cellStyle name="40% - Accent5 12" xfId="1163"/>
    <cellStyle name="40% - Accent5 12 2" xfId="1164"/>
    <cellStyle name="40% - Accent5 12 3" xfId="1165"/>
    <cellStyle name="40% - Accent5 13" xfId="1166"/>
    <cellStyle name="40% - Accent5 13 2" xfId="1167"/>
    <cellStyle name="40% - Accent5 13 3" xfId="1168"/>
    <cellStyle name="40% - Accent5 14" xfId="1169"/>
    <cellStyle name="40% - Accent5 14 2" xfId="1170"/>
    <cellStyle name="40% - Accent5 14 3" xfId="1171"/>
    <cellStyle name="40% - Accent5 15" xfId="1172"/>
    <cellStyle name="40% - Accent5 15 2" xfId="1173"/>
    <cellStyle name="40% - Accent5 15 3" xfId="1174"/>
    <cellStyle name="40% - Accent5 16" xfId="1175"/>
    <cellStyle name="40% - Accent5 17" xfId="1176"/>
    <cellStyle name="40% - Accent5 18" xfId="1177"/>
    <cellStyle name="40% - Accent5 19" xfId="1178"/>
    <cellStyle name="40% - Accent5 2" xfId="1179"/>
    <cellStyle name="40% - Accent5 2 10" xfId="1180"/>
    <cellStyle name="40% - Accent5 2 11" xfId="1181"/>
    <cellStyle name="40% - Accent5 2 12" xfId="1182"/>
    <cellStyle name="40% - Accent5 2 13" xfId="1183"/>
    <cellStyle name="40% - Accent5 2 14" xfId="1184"/>
    <cellStyle name="40% - Accent5 2 15" xfId="1185"/>
    <cellStyle name="40% - Accent5 2 2" xfId="1186"/>
    <cellStyle name="40% - Accent5 2 3" xfId="1187"/>
    <cellStyle name="40% - Accent5 2 4" xfId="1188"/>
    <cellStyle name="40% - Accent5 2 5" xfId="1189"/>
    <cellStyle name="40% - Accent5 2 6" xfId="1190"/>
    <cellStyle name="40% - Accent5 2 7" xfId="1191"/>
    <cellStyle name="40% - Accent5 2 8" xfId="1192"/>
    <cellStyle name="40% - Accent5 2 9" xfId="1193"/>
    <cellStyle name="40% - Accent5 2_Display" xfId="1194"/>
    <cellStyle name="40% - Accent5 20" xfId="4324"/>
    <cellStyle name="40% - Accent5 3" xfId="1195"/>
    <cellStyle name="40% - Accent5 3 2" xfId="1196"/>
    <cellStyle name="40% - Accent5 3 3" xfId="1197"/>
    <cellStyle name="40% - Accent5 3 4" xfId="1198"/>
    <cellStyle name="40% - Accent5 3 5" xfId="1199"/>
    <cellStyle name="40% - Accent5 3 5 2" xfId="1200"/>
    <cellStyle name="40% - Accent5 3 6" xfId="1201"/>
    <cellStyle name="40% - Accent5 3 7" xfId="1202"/>
    <cellStyle name="40% - Accent5 3 8" xfId="1203"/>
    <cellStyle name="40% - Accent5 3 9" xfId="1204"/>
    <cellStyle name="40% - Accent5 3_Display" xfId="1205"/>
    <cellStyle name="40% - Accent5 4" xfId="1206"/>
    <cellStyle name="40% - Accent5 4 2" xfId="1207"/>
    <cellStyle name="40% - Accent5 4_Display" xfId="1208"/>
    <cellStyle name="40% - Accent5 5" xfId="1209"/>
    <cellStyle name="40% - Accent5 5 2" xfId="1210"/>
    <cellStyle name="40% - Accent5 5_Display" xfId="1211"/>
    <cellStyle name="40% - Accent5 6" xfId="1212"/>
    <cellStyle name="40% - Accent5 6 2" xfId="1213"/>
    <cellStyle name="40% - Accent5 6_Display" xfId="1214"/>
    <cellStyle name="40% - Accent5 7" xfId="1215"/>
    <cellStyle name="40% - Accent5 8" xfId="1216"/>
    <cellStyle name="40% - Accent5 9" xfId="1217"/>
    <cellStyle name="40% - Accent5 9 2" xfId="1218"/>
    <cellStyle name="40% - Accent5 9 2 2" xfId="1219"/>
    <cellStyle name="40% - Accent5 9 3" xfId="1220"/>
    <cellStyle name="40% - Accent5 9 4" xfId="1221"/>
    <cellStyle name="40% - Accent5 9 5" xfId="1222"/>
    <cellStyle name="40% - Accent6 10" xfId="1223"/>
    <cellStyle name="40% - Accent6 10 2" xfId="1224"/>
    <cellStyle name="40% - Accent6 10 3" xfId="1225"/>
    <cellStyle name="40% - Accent6 11" xfId="1226"/>
    <cellStyle name="40% - Accent6 11 2" xfId="1227"/>
    <cellStyle name="40% - Accent6 11 3" xfId="1228"/>
    <cellStyle name="40% - Accent6 12" xfId="1229"/>
    <cellStyle name="40% - Accent6 12 2" xfId="1230"/>
    <cellStyle name="40% - Accent6 12 3" xfId="1231"/>
    <cellStyle name="40% - Accent6 13" xfId="1232"/>
    <cellStyle name="40% - Accent6 13 2" xfId="1233"/>
    <cellStyle name="40% - Accent6 13 3" xfId="1234"/>
    <cellStyle name="40% - Accent6 14" xfId="1235"/>
    <cellStyle name="40% - Accent6 14 2" xfId="1236"/>
    <cellStyle name="40% - Accent6 14 3" xfId="1237"/>
    <cellStyle name="40% - Accent6 15" xfId="1238"/>
    <cellStyle name="40% - Accent6 15 2" xfId="1239"/>
    <cellStyle name="40% - Accent6 15 3" xfId="1240"/>
    <cellStyle name="40% - Accent6 16" xfId="1241"/>
    <cellStyle name="40% - Accent6 17" xfId="1242"/>
    <cellStyle name="40% - Accent6 18" xfId="1243"/>
    <cellStyle name="40% - Accent6 19" xfId="1244"/>
    <cellStyle name="40% - Accent6 2" xfId="1245"/>
    <cellStyle name="40% - Accent6 2 10" xfId="1246"/>
    <cellStyle name="40% - Accent6 2 11" xfId="1247"/>
    <cellStyle name="40% - Accent6 2 12" xfId="1248"/>
    <cellStyle name="40% - Accent6 2 13" xfId="1249"/>
    <cellStyle name="40% - Accent6 2 14" xfId="1250"/>
    <cellStyle name="40% - Accent6 2 15" xfId="1251"/>
    <cellStyle name="40% - Accent6 2 2" xfId="1252"/>
    <cellStyle name="40% - Accent6 2 3" xfId="1253"/>
    <cellStyle name="40% - Accent6 2 4" xfId="1254"/>
    <cellStyle name="40% - Accent6 2 5" xfId="1255"/>
    <cellStyle name="40% - Accent6 2 6" xfId="1256"/>
    <cellStyle name="40% - Accent6 2 7" xfId="1257"/>
    <cellStyle name="40% - Accent6 2 8" xfId="1258"/>
    <cellStyle name="40% - Accent6 2 9" xfId="1259"/>
    <cellStyle name="40% - Accent6 2_Display" xfId="1260"/>
    <cellStyle name="40% - Accent6 20" xfId="4325"/>
    <cellStyle name="40% - Accent6 3" xfId="1261"/>
    <cellStyle name="40% - Accent6 3 2" xfId="1262"/>
    <cellStyle name="40% - Accent6 3 3" xfId="1263"/>
    <cellStyle name="40% - Accent6 3 4" xfId="1264"/>
    <cellStyle name="40% - Accent6 3 5" xfId="1265"/>
    <cellStyle name="40% - Accent6 3 5 2" xfId="1266"/>
    <cellStyle name="40% - Accent6 3 6" xfId="1267"/>
    <cellStyle name="40% - Accent6 3 7" xfId="1268"/>
    <cellStyle name="40% - Accent6 3 8" xfId="1269"/>
    <cellStyle name="40% - Accent6 3 9" xfId="1270"/>
    <cellStyle name="40% - Accent6 3_Display" xfId="1271"/>
    <cellStyle name="40% - Accent6 4" xfId="1272"/>
    <cellStyle name="40% - Accent6 4 2" xfId="1273"/>
    <cellStyle name="40% - Accent6 4_Display" xfId="1274"/>
    <cellStyle name="40% - Accent6 5" xfId="1275"/>
    <cellStyle name="40% - Accent6 5 2" xfId="1276"/>
    <cellStyle name="40% - Accent6 5_Display" xfId="1277"/>
    <cellStyle name="40% - Accent6 6" xfId="1278"/>
    <cellStyle name="40% - Accent6 6 2" xfId="1279"/>
    <cellStyle name="40% - Accent6 6_Display" xfId="1280"/>
    <cellStyle name="40% - Accent6 7" xfId="1281"/>
    <cellStyle name="40% - Accent6 8" xfId="1282"/>
    <cellStyle name="40% - Accent6 9" xfId="1283"/>
    <cellStyle name="40% - Accent6 9 2" xfId="1284"/>
    <cellStyle name="40% - Accent6 9 2 2" xfId="1285"/>
    <cellStyle name="40% - Accent6 9 3" xfId="1286"/>
    <cellStyle name="40% - Accent6 9 4" xfId="1287"/>
    <cellStyle name="40% - Accent6 9 5" xfId="1288"/>
    <cellStyle name="40% - 强调文字颜色 1" xfId="1289"/>
    <cellStyle name="40% - 强调文字颜色 2" xfId="1290"/>
    <cellStyle name="40% - 强调文字颜色 3" xfId="1291"/>
    <cellStyle name="40% - 强调文字颜色 4" xfId="1292"/>
    <cellStyle name="40% - 强调文字颜色 5" xfId="1293"/>
    <cellStyle name="40% - 强调文字颜色 6" xfId="1294"/>
    <cellStyle name="40% - 輔色1" xfId="1295"/>
    <cellStyle name="40% - 輔色2" xfId="1296"/>
    <cellStyle name="40% - 輔色3" xfId="1297"/>
    <cellStyle name="40% - 輔色4" xfId="1298"/>
    <cellStyle name="40% - 輔色5" xfId="1299"/>
    <cellStyle name="40% - 輔色6" xfId="1300"/>
    <cellStyle name="60% - Accent1 10" xfId="1301"/>
    <cellStyle name="60% - Accent1 10 2" xfId="1302"/>
    <cellStyle name="60% - Accent1 10 3" xfId="1303"/>
    <cellStyle name="60% - Accent1 11" xfId="1304"/>
    <cellStyle name="60% - Accent1 11 2" xfId="1305"/>
    <cellStyle name="60% - Accent1 11 3" xfId="1306"/>
    <cellStyle name="60% - Accent1 12" xfId="1307"/>
    <cellStyle name="60% - Accent1 12 2" xfId="1308"/>
    <cellStyle name="60% - Accent1 12 3" xfId="1309"/>
    <cellStyle name="60% - Accent1 13" xfId="1310"/>
    <cellStyle name="60% - Accent1 13 2" xfId="1311"/>
    <cellStyle name="60% - Accent1 13 3" xfId="1312"/>
    <cellStyle name="60% - Accent1 14" xfId="1313"/>
    <cellStyle name="60% - Accent1 14 2" xfId="1314"/>
    <cellStyle name="60% - Accent1 14 3" xfId="1315"/>
    <cellStyle name="60% - Accent1 15" xfId="1316"/>
    <cellStyle name="60% - Accent1 15 2" xfId="1317"/>
    <cellStyle name="60% - Accent1 15 3" xfId="1318"/>
    <cellStyle name="60% - Accent1 16" xfId="1319"/>
    <cellStyle name="60% - Accent1 17" xfId="1320"/>
    <cellStyle name="60% - Accent1 18" xfId="1321"/>
    <cellStyle name="60% - Accent1 19" xfId="1322"/>
    <cellStyle name="60% - Accent1 2" xfId="1323"/>
    <cellStyle name="60% - Accent1 2 10" xfId="1324"/>
    <cellStyle name="60% - Accent1 2 11" xfId="1325"/>
    <cellStyle name="60% - Accent1 2 12" xfId="1326"/>
    <cellStyle name="60% - Accent1 2 13" xfId="1327"/>
    <cellStyle name="60% - Accent1 2 14" xfId="1328"/>
    <cellStyle name="60% - Accent1 2 15" xfId="1329"/>
    <cellStyle name="60% - Accent1 2 2" xfId="1330"/>
    <cellStyle name="60% - Accent1 2 3" xfId="1331"/>
    <cellStyle name="60% - Accent1 2 4" xfId="1332"/>
    <cellStyle name="60% - Accent1 2 5" xfId="1333"/>
    <cellStyle name="60% - Accent1 2 6" xfId="1334"/>
    <cellStyle name="60% - Accent1 2 7" xfId="1335"/>
    <cellStyle name="60% - Accent1 2 8" xfId="1336"/>
    <cellStyle name="60% - Accent1 2 9" xfId="1337"/>
    <cellStyle name="60% - Accent1 20" xfId="4326"/>
    <cellStyle name="60% - Accent1 3" xfId="1338"/>
    <cellStyle name="60% - Accent1 3 2" xfId="1339"/>
    <cellStyle name="60% - Accent1 3 3" xfId="1340"/>
    <cellStyle name="60% - Accent1 3 4" xfId="1341"/>
    <cellStyle name="60% - Accent1 3 5" xfId="1342"/>
    <cellStyle name="60% - Accent1 3 5 2" xfId="1343"/>
    <cellStyle name="60% - Accent1 3 6" xfId="1344"/>
    <cellStyle name="60% - Accent1 3 7" xfId="1345"/>
    <cellStyle name="60% - Accent1 3 8" xfId="1346"/>
    <cellStyle name="60% - Accent1 3 9" xfId="1347"/>
    <cellStyle name="60% - Accent1 4" xfId="1348"/>
    <cellStyle name="60% - Accent1 4 2" xfId="1349"/>
    <cellStyle name="60% - Accent1 5" xfId="1350"/>
    <cellStyle name="60% - Accent1 5 2" xfId="1351"/>
    <cellStyle name="60% - Accent1 6" xfId="1352"/>
    <cellStyle name="60% - Accent1 6 2" xfId="1353"/>
    <cellStyle name="60% - Accent1 7" xfId="1354"/>
    <cellStyle name="60% - Accent1 8" xfId="1355"/>
    <cellStyle name="60% - Accent1 9" xfId="1356"/>
    <cellStyle name="60% - Accent1 9 2" xfId="1357"/>
    <cellStyle name="60% - Accent1 9 2 2" xfId="1358"/>
    <cellStyle name="60% - Accent1 9 3" xfId="1359"/>
    <cellStyle name="60% - Accent1 9 4" xfId="1360"/>
    <cellStyle name="60% - Accent1 9 5" xfId="1361"/>
    <cellStyle name="60% - Accent2 10" xfId="1362"/>
    <cellStyle name="60% - Accent2 10 2" xfId="1363"/>
    <cellStyle name="60% - Accent2 10 3" xfId="1364"/>
    <cellStyle name="60% - Accent2 11" xfId="1365"/>
    <cellStyle name="60% - Accent2 11 2" xfId="1366"/>
    <cellStyle name="60% - Accent2 11 3" xfId="1367"/>
    <cellStyle name="60% - Accent2 12" xfId="1368"/>
    <cellStyle name="60% - Accent2 12 2" xfId="1369"/>
    <cellStyle name="60% - Accent2 12 3" xfId="1370"/>
    <cellStyle name="60% - Accent2 13" xfId="1371"/>
    <cellStyle name="60% - Accent2 13 2" xfId="1372"/>
    <cellStyle name="60% - Accent2 13 3" xfId="1373"/>
    <cellStyle name="60% - Accent2 14" xfId="1374"/>
    <cellStyle name="60% - Accent2 14 2" xfId="1375"/>
    <cellStyle name="60% - Accent2 14 3" xfId="1376"/>
    <cellStyle name="60% - Accent2 15" xfId="1377"/>
    <cellStyle name="60% - Accent2 15 2" xfId="1378"/>
    <cellStyle name="60% - Accent2 15 3" xfId="1379"/>
    <cellStyle name="60% - Accent2 16" xfId="1380"/>
    <cellStyle name="60% - Accent2 17" xfId="1381"/>
    <cellStyle name="60% - Accent2 18" xfId="1382"/>
    <cellStyle name="60% - Accent2 19" xfId="1383"/>
    <cellStyle name="60% - Accent2 2" xfId="1384"/>
    <cellStyle name="60% - Accent2 2 10" xfId="1385"/>
    <cellStyle name="60% - Accent2 2 11" xfId="1386"/>
    <cellStyle name="60% - Accent2 2 12" xfId="1387"/>
    <cellStyle name="60% - Accent2 2 13" xfId="1388"/>
    <cellStyle name="60% - Accent2 2 14" xfId="1389"/>
    <cellStyle name="60% - Accent2 2 15" xfId="1390"/>
    <cellStyle name="60% - Accent2 2 2" xfId="1391"/>
    <cellStyle name="60% - Accent2 2 3" xfId="1392"/>
    <cellStyle name="60% - Accent2 2 4" xfId="1393"/>
    <cellStyle name="60% - Accent2 2 5" xfId="1394"/>
    <cellStyle name="60% - Accent2 2 6" xfId="1395"/>
    <cellStyle name="60% - Accent2 2 7" xfId="1396"/>
    <cellStyle name="60% - Accent2 2 8" xfId="1397"/>
    <cellStyle name="60% - Accent2 2 9" xfId="1398"/>
    <cellStyle name="60% - Accent2 20" xfId="4327"/>
    <cellStyle name="60% - Accent2 3" xfId="1399"/>
    <cellStyle name="60% - Accent2 3 2" xfId="1400"/>
    <cellStyle name="60% - Accent2 3 3" xfId="1401"/>
    <cellStyle name="60% - Accent2 3 4" xfId="1402"/>
    <cellStyle name="60% - Accent2 3 5" xfId="1403"/>
    <cellStyle name="60% - Accent2 3 6" xfId="1404"/>
    <cellStyle name="60% - Accent2 3 7" xfId="1405"/>
    <cellStyle name="60% - Accent2 3 8" xfId="1406"/>
    <cellStyle name="60% - Accent2 4" xfId="1407"/>
    <cellStyle name="60% - Accent2 4 2" xfId="1408"/>
    <cellStyle name="60% - Accent2 5" xfId="1409"/>
    <cellStyle name="60% - Accent2 5 2" xfId="1410"/>
    <cellStyle name="60% - Accent2 6" xfId="1411"/>
    <cellStyle name="60% - Accent2 6 2" xfId="1412"/>
    <cellStyle name="60% - Accent2 7" xfId="1413"/>
    <cellStyle name="60% - Accent2 8" xfId="1414"/>
    <cellStyle name="60% - Accent2 9" xfId="1415"/>
    <cellStyle name="60% - Accent2 9 2" xfId="1416"/>
    <cellStyle name="60% - Accent2 9 3" xfId="1417"/>
    <cellStyle name="60% - Accent2 9 4" xfId="1418"/>
    <cellStyle name="60% - Accent3 10" xfId="1419"/>
    <cellStyle name="60% - Accent3 10 2" xfId="1420"/>
    <cellStyle name="60% - Accent3 10 3" xfId="1421"/>
    <cellStyle name="60% - Accent3 11" xfId="1422"/>
    <cellStyle name="60% - Accent3 11 2" xfId="1423"/>
    <cellStyle name="60% - Accent3 11 3" xfId="1424"/>
    <cellStyle name="60% - Accent3 12" xfId="1425"/>
    <cellStyle name="60% - Accent3 12 2" xfId="1426"/>
    <cellStyle name="60% - Accent3 12 3" xfId="1427"/>
    <cellStyle name="60% - Accent3 13" xfId="1428"/>
    <cellStyle name="60% - Accent3 13 2" xfId="1429"/>
    <cellStyle name="60% - Accent3 13 3" xfId="1430"/>
    <cellStyle name="60% - Accent3 14" xfId="1431"/>
    <cellStyle name="60% - Accent3 14 2" xfId="1432"/>
    <cellStyle name="60% - Accent3 14 3" xfId="1433"/>
    <cellStyle name="60% - Accent3 15" xfId="1434"/>
    <cellStyle name="60% - Accent3 15 2" xfId="1435"/>
    <cellStyle name="60% - Accent3 15 3" xfId="1436"/>
    <cellStyle name="60% - Accent3 16" xfId="1437"/>
    <cellStyle name="60% - Accent3 17" xfId="1438"/>
    <cellStyle name="60% - Accent3 18" xfId="1439"/>
    <cellStyle name="60% - Accent3 19" xfId="1440"/>
    <cellStyle name="60% - Accent3 2" xfId="1441"/>
    <cellStyle name="60% - Accent3 2 10" xfId="1442"/>
    <cellStyle name="60% - Accent3 2 11" xfId="1443"/>
    <cellStyle name="60% - Accent3 2 12" xfId="1444"/>
    <cellStyle name="60% - Accent3 2 13" xfId="1445"/>
    <cellStyle name="60% - Accent3 2 14" xfId="1446"/>
    <cellStyle name="60% - Accent3 2 15" xfId="1447"/>
    <cellStyle name="60% - Accent3 2 2" xfId="1448"/>
    <cellStyle name="60% - Accent3 2 3" xfId="1449"/>
    <cellStyle name="60% - Accent3 2 4" xfId="1450"/>
    <cellStyle name="60% - Accent3 2 5" xfId="1451"/>
    <cellStyle name="60% - Accent3 2 6" xfId="1452"/>
    <cellStyle name="60% - Accent3 2 7" xfId="1453"/>
    <cellStyle name="60% - Accent3 2 8" xfId="1454"/>
    <cellStyle name="60% - Accent3 2 9" xfId="1455"/>
    <cellStyle name="60% - Accent3 20" xfId="4328"/>
    <cellStyle name="60% - Accent3 3" xfId="1456"/>
    <cellStyle name="60% - Accent3 3 2" xfId="1457"/>
    <cellStyle name="60% - Accent3 3 3" xfId="1458"/>
    <cellStyle name="60% - Accent3 3 4" xfId="1459"/>
    <cellStyle name="60% - Accent3 3 5" xfId="1460"/>
    <cellStyle name="60% - Accent3 3 5 2" xfId="1461"/>
    <cellStyle name="60% - Accent3 3 6" xfId="1462"/>
    <cellStyle name="60% - Accent3 3 7" xfId="1463"/>
    <cellStyle name="60% - Accent3 3 8" xfId="1464"/>
    <cellStyle name="60% - Accent3 3 9" xfId="1465"/>
    <cellStyle name="60% - Accent3 4" xfId="1466"/>
    <cellStyle name="60% - Accent3 4 2" xfId="1467"/>
    <cellStyle name="60% - Accent3 5" xfId="1468"/>
    <cellStyle name="60% - Accent3 5 2" xfId="1469"/>
    <cellStyle name="60% - Accent3 6" xfId="1470"/>
    <cellStyle name="60% - Accent3 6 2" xfId="1471"/>
    <cellStyle name="60% - Accent3 7" xfId="1472"/>
    <cellStyle name="60% - Accent3 8" xfId="1473"/>
    <cellStyle name="60% - Accent3 9" xfId="1474"/>
    <cellStyle name="60% - Accent3 9 2" xfId="1475"/>
    <cellStyle name="60% - Accent3 9 2 2" xfId="1476"/>
    <cellStyle name="60% - Accent3 9 3" xfId="1477"/>
    <cellStyle name="60% - Accent3 9 4" xfId="1478"/>
    <cellStyle name="60% - Accent3 9 5" xfId="1479"/>
    <cellStyle name="60% - Accent4 10" xfId="1480"/>
    <cellStyle name="60% - Accent4 10 2" xfId="1481"/>
    <cellStyle name="60% - Accent4 10 3" xfId="1482"/>
    <cellStyle name="60% - Accent4 11" xfId="1483"/>
    <cellStyle name="60% - Accent4 11 2" xfId="1484"/>
    <cellStyle name="60% - Accent4 11 3" xfId="1485"/>
    <cellStyle name="60% - Accent4 12" xfId="1486"/>
    <cellStyle name="60% - Accent4 12 2" xfId="1487"/>
    <cellStyle name="60% - Accent4 12 3" xfId="1488"/>
    <cellStyle name="60% - Accent4 13" xfId="1489"/>
    <cellStyle name="60% - Accent4 13 2" xfId="1490"/>
    <cellStyle name="60% - Accent4 13 3" xfId="1491"/>
    <cellStyle name="60% - Accent4 14" xfId="1492"/>
    <cellStyle name="60% - Accent4 14 2" xfId="1493"/>
    <cellStyle name="60% - Accent4 14 3" xfId="1494"/>
    <cellStyle name="60% - Accent4 15" xfId="1495"/>
    <cellStyle name="60% - Accent4 15 2" xfId="1496"/>
    <cellStyle name="60% - Accent4 15 3" xfId="1497"/>
    <cellStyle name="60% - Accent4 16" xfId="1498"/>
    <cellStyle name="60% - Accent4 17" xfId="1499"/>
    <cellStyle name="60% - Accent4 18" xfId="1500"/>
    <cellStyle name="60% - Accent4 19" xfId="1501"/>
    <cellStyle name="60% - Accent4 2" xfId="1502"/>
    <cellStyle name="60% - Accent4 2 10" xfId="1503"/>
    <cellStyle name="60% - Accent4 2 11" xfId="1504"/>
    <cellStyle name="60% - Accent4 2 12" xfId="1505"/>
    <cellStyle name="60% - Accent4 2 13" xfId="1506"/>
    <cellStyle name="60% - Accent4 2 14" xfId="1507"/>
    <cellStyle name="60% - Accent4 2 15" xfId="1508"/>
    <cellStyle name="60% - Accent4 2 2" xfId="1509"/>
    <cellStyle name="60% - Accent4 2 3" xfId="1510"/>
    <cellStyle name="60% - Accent4 2 4" xfId="1511"/>
    <cellStyle name="60% - Accent4 2 5" xfId="1512"/>
    <cellStyle name="60% - Accent4 2 6" xfId="1513"/>
    <cellStyle name="60% - Accent4 2 7" xfId="1514"/>
    <cellStyle name="60% - Accent4 2 8" xfId="1515"/>
    <cellStyle name="60% - Accent4 2 9" xfId="1516"/>
    <cellStyle name="60% - Accent4 20" xfId="4329"/>
    <cellStyle name="60% - Accent4 3" xfId="1517"/>
    <cellStyle name="60% - Accent4 3 2" xfId="1518"/>
    <cellStyle name="60% - Accent4 3 3" xfId="1519"/>
    <cellStyle name="60% - Accent4 3 4" xfId="1520"/>
    <cellStyle name="60% - Accent4 3 5" xfId="1521"/>
    <cellStyle name="60% - Accent4 3 5 2" xfId="1522"/>
    <cellStyle name="60% - Accent4 3 6" xfId="1523"/>
    <cellStyle name="60% - Accent4 3 7" xfId="1524"/>
    <cellStyle name="60% - Accent4 3 8" xfId="1525"/>
    <cellStyle name="60% - Accent4 3 9" xfId="1526"/>
    <cellStyle name="60% - Accent4 4" xfId="1527"/>
    <cellStyle name="60% - Accent4 4 2" xfId="1528"/>
    <cellStyle name="60% - Accent4 5" xfId="1529"/>
    <cellStyle name="60% - Accent4 5 2" xfId="1530"/>
    <cellStyle name="60% - Accent4 6" xfId="1531"/>
    <cellStyle name="60% - Accent4 6 2" xfId="1532"/>
    <cellStyle name="60% - Accent4 7" xfId="1533"/>
    <cellStyle name="60% - Accent4 8" xfId="1534"/>
    <cellStyle name="60% - Accent4 9" xfId="1535"/>
    <cellStyle name="60% - Accent4 9 2" xfId="1536"/>
    <cellStyle name="60% - Accent4 9 2 2" xfId="1537"/>
    <cellStyle name="60% - Accent4 9 3" xfId="1538"/>
    <cellStyle name="60% - Accent4 9 4" xfId="1539"/>
    <cellStyle name="60% - Accent4 9 5" xfId="1540"/>
    <cellStyle name="60% - Accent5 10" xfId="1541"/>
    <cellStyle name="60% - Accent5 10 2" xfId="1542"/>
    <cellStyle name="60% - Accent5 10 3" xfId="1543"/>
    <cellStyle name="60% - Accent5 11" xfId="1544"/>
    <cellStyle name="60% - Accent5 11 2" xfId="1545"/>
    <cellStyle name="60% - Accent5 11 3" xfId="1546"/>
    <cellStyle name="60% - Accent5 12" xfId="1547"/>
    <cellStyle name="60% - Accent5 12 2" xfId="1548"/>
    <cellStyle name="60% - Accent5 12 3" xfId="1549"/>
    <cellStyle name="60% - Accent5 13" xfId="1550"/>
    <cellStyle name="60% - Accent5 13 2" xfId="1551"/>
    <cellStyle name="60% - Accent5 13 3" xfId="1552"/>
    <cellStyle name="60% - Accent5 14" xfId="1553"/>
    <cellStyle name="60% - Accent5 14 2" xfId="1554"/>
    <cellStyle name="60% - Accent5 14 3" xfId="1555"/>
    <cellStyle name="60% - Accent5 15" xfId="1556"/>
    <cellStyle name="60% - Accent5 15 2" xfId="1557"/>
    <cellStyle name="60% - Accent5 15 3" xfId="1558"/>
    <cellStyle name="60% - Accent5 16" xfId="1559"/>
    <cellStyle name="60% - Accent5 17" xfId="1560"/>
    <cellStyle name="60% - Accent5 18" xfId="1561"/>
    <cellStyle name="60% - Accent5 19" xfId="1562"/>
    <cellStyle name="60% - Accent5 2" xfId="1563"/>
    <cellStyle name="60% - Accent5 2 10" xfId="1564"/>
    <cellStyle name="60% - Accent5 2 11" xfId="1565"/>
    <cellStyle name="60% - Accent5 2 12" xfId="1566"/>
    <cellStyle name="60% - Accent5 2 13" xfId="1567"/>
    <cellStyle name="60% - Accent5 2 14" xfId="1568"/>
    <cellStyle name="60% - Accent5 2 15" xfId="1569"/>
    <cellStyle name="60% - Accent5 2 2" xfId="1570"/>
    <cellStyle name="60% - Accent5 2 3" xfId="1571"/>
    <cellStyle name="60% - Accent5 2 4" xfId="1572"/>
    <cellStyle name="60% - Accent5 2 5" xfId="1573"/>
    <cellStyle name="60% - Accent5 2 6" xfId="1574"/>
    <cellStyle name="60% - Accent5 2 7" xfId="1575"/>
    <cellStyle name="60% - Accent5 2 8" xfId="1576"/>
    <cellStyle name="60% - Accent5 2 9" xfId="1577"/>
    <cellStyle name="60% - Accent5 20" xfId="4330"/>
    <cellStyle name="60% - Accent5 3" xfId="1578"/>
    <cellStyle name="60% - Accent5 3 2" xfId="1579"/>
    <cellStyle name="60% - Accent5 3 3" xfId="1580"/>
    <cellStyle name="60% - Accent5 3 4" xfId="1581"/>
    <cellStyle name="60% - Accent5 3 5" xfId="1582"/>
    <cellStyle name="60% - Accent5 3 5 2" xfId="1583"/>
    <cellStyle name="60% - Accent5 3 6" xfId="1584"/>
    <cellStyle name="60% - Accent5 3 7" xfId="1585"/>
    <cellStyle name="60% - Accent5 3 8" xfId="1586"/>
    <cellStyle name="60% - Accent5 3 9" xfId="1587"/>
    <cellStyle name="60% - Accent5 4" xfId="1588"/>
    <cellStyle name="60% - Accent5 4 2" xfId="1589"/>
    <cellStyle name="60% - Accent5 5" xfId="1590"/>
    <cellStyle name="60% - Accent5 5 2" xfId="1591"/>
    <cellStyle name="60% - Accent5 6" xfId="1592"/>
    <cellStyle name="60% - Accent5 6 2" xfId="1593"/>
    <cellStyle name="60% - Accent5 7" xfId="1594"/>
    <cellStyle name="60% - Accent5 8" xfId="1595"/>
    <cellStyle name="60% - Accent5 9" xfId="1596"/>
    <cellStyle name="60% - Accent5 9 2" xfId="1597"/>
    <cellStyle name="60% - Accent5 9 2 2" xfId="1598"/>
    <cellStyle name="60% - Accent5 9 3" xfId="1599"/>
    <cellStyle name="60% - Accent5 9 4" xfId="1600"/>
    <cellStyle name="60% - Accent5 9 5" xfId="1601"/>
    <cellStyle name="60% - Accent6 10" xfId="1602"/>
    <cellStyle name="60% - Accent6 10 2" xfId="1603"/>
    <cellStyle name="60% - Accent6 10 3" xfId="1604"/>
    <cellStyle name="60% - Accent6 11" xfId="1605"/>
    <cellStyle name="60% - Accent6 11 2" xfId="1606"/>
    <cellStyle name="60% - Accent6 11 3" xfId="1607"/>
    <cellStyle name="60% - Accent6 12" xfId="1608"/>
    <cellStyle name="60% - Accent6 12 2" xfId="1609"/>
    <cellStyle name="60% - Accent6 12 3" xfId="1610"/>
    <cellStyle name="60% - Accent6 13" xfId="1611"/>
    <cellStyle name="60% - Accent6 13 2" xfId="1612"/>
    <cellStyle name="60% - Accent6 13 3" xfId="1613"/>
    <cellStyle name="60% - Accent6 14" xfId="1614"/>
    <cellStyle name="60% - Accent6 14 2" xfId="1615"/>
    <cellStyle name="60% - Accent6 14 3" xfId="1616"/>
    <cellStyle name="60% - Accent6 15" xfId="1617"/>
    <cellStyle name="60% - Accent6 15 2" xfId="1618"/>
    <cellStyle name="60% - Accent6 15 3" xfId="1619"/>
    <cellStyle name="60% - Accent6 16" xfId="1620"/>
    <cellStyle name="60% - Accent6 17" xfId="1621"/>
    <cellStyle name="60% - Accent6 18" xfId="1622"/>
    <cellStyle name="60% - Accent6 19" xfId="1623"/>
    <cellStyle name="60% - Accent6 2" xfId="1624"/>
    <cellStyle name="60% - Accent6 2 10" xfId="1625"/>
    <cellStyle name="60% - Accent6 2 11" xfId="1626"/>
    <cellStyle name="60% - Accent6 2 12" xfId="1627"/>
    <cellStyle name="60% - Accent6 2 13" xfId="1628"/>
    <cellStyle name="60% - Accent6 2 14" xfId="1629"/>
    <cellStyle name="60% - Accent6 2 15" xfId="1630"/>
    <cellStyle name="60% - Accent6 2 2" xfId="1631"/>
    <cellStyle name="60% - Accent6 2 3" xfId="1632"/>
    <cellStyle name="60% - Accent6 2 4" xfId="1633"/>
    <cellStyle name="60% - Accent6 2 5" xfId="1634"/>
    <cellStyle name="60% - Accent6 2 6" xfId="1635"/>
    <cellStyle name="60% - Accent6 2 7" xfId="1636"/>
    <cellStyle name="60% - Accent6 2 8" xfId="1637"/>
    <cellStyle name="60% - Accent6 2 9" xfId="1638"/>
    <cellStyle name="60% - Accent6 20" xfId="4331"/>
    <cellStyle name="60% - Accent6 3" xfId="1639"/>
    <cellStyle name="60% - Accent6 3 2" xfId="1640"/>
    <cellStyle name="60% - Accent6 3 3" xfId="1641"/>
    <cellStyle name="60% - Accent6 3 4" xfId="1642"/>
    <cellStyle name="60% - Accent6 3 5" xfId="1643"/>
    <cellStyle name="60% - Accent6 3 5 2" xfId="1644"/>
    <cellStyle name="60% - Accent6 3 6" xfId="1645"/>
    <cellStyle name="60% - Accent6 3 7" xfId="1646"/>
    <cellStyle name="60% - Accent6 3 8" xfId="1647"/>
    <cellStyle name="60% - Accent6 3 9" xfId="1648"/>
    <cellStyle name="60% - Accent6 4" xfId="1649"/>
    <cellStyle name="60% - Accent6 4 2" xfId="1650"/>
    <cellStyle name="60% - Accent6 5" xfId="1651"/>
    <cellStyle name="60% - Accent6 5 2" xfId="1652"/>
    <cellStyle name="60% - Accent6 6" xfId="1653"/>
    <cellStyle name="60% - Accent6 6 2" xfId="1654"/>
    <cellStyle name="60% - Accent6 7" xfId="1655"/>
    <cellStyle name="60% - Accent6 8" xfId="1656"/>
    <cellStyle name="60% - Accent6 9" xfId="1657"/>
    <cellStyle name="60% - Accent6 9 2" xfId="1658"/>
    <cellStyle name="60% - Accent6 9 2 2" xfId="1659"/>
    <cellStyle name="60% - Accent6 9 3" xfId="1660"/>
    <cellStyle name="60% - Accent6 9 4" xfId="1661"/>
    <cellStyle name="60% - Accent6 9 5" xfId="1662"/>
    <cellStyle name="60% - 强调文字颜色 1" xfId="1663"/>
    <cellStyle name="60% - 强调文字颜色 2" xfId="1664"/>
    <cellStyle name="60% - 强调文字颜色 3" xfId="1665"/>
    <cellStyle name="60% - 强调文字颜色 4" xfId="1666"/>
    <cellStyle name="60% - 强调文字颜色 5" xfId="1667"/>
    <cellStyle name="60% - 强调文字颜色 6" xfId="1668"/>
    <cellStyle name="60% - 輔色1" xfId="1669"/>
    <cellStyle name="60% - 輔色2" xfId="1670"/>
    <cellStyle name="60% - 輔色3" xfId="1671"/>
    <cellStyle name="60% - 輔色4" xfId="1672"/>
    <cellStyle name="60% - 輔色5" xfId="1673"/>
    <cellStyle name="60% - 輔色6" xfId="1674"/>
    <cellStyle name="Accent1 10" xfId="1675"/>
    <cellStyle name="Accent1 10 2" xfId="1676"/>
    <cellStyle name="Accent1 10 3" xfId="1677"/>
    <cellStyle name="Accent1 11" xfId="1678"/>
    <cellStyle name="Accent1 11 2" xfId="1679"/>
    <cellStyle name="Accent1 11 3" xfId="1680"/>
    <cellStyle name="Accent1 12" xfId="1681"/>
    <cellStyle name="Accent1 12 2" xfId="1682"/>
    <cellStyle name="Accent1 12 3" xfId="1683"/>
    <cellStyle name="Accent1 13" xfId="1684"/>
    <cellStyle name="Accent1 13 2" xfId="1685"/>
    <cellStyle name="Accent1 13 3" xfId="1686"/>
    <cellStyle name="Accent1 14" xfId="1687"/>
    <cellStyle name="Accent1 14 2" xfId="1688"/>
    <cellStyle name="Accent1 14 3" xfId="1689"/>
    <cellStyle name="Accent1 15" xfId="1690"/>
    <cellStyle name="Accent1 15 2" xfId="1691"/>
    <cellStyle name="Accent1 15 3" xfId="1692"/>
    <cellStyle name="Accent1 16" xfId="1693"/>
    <cellStyle name="Accent1 17" xfId="1694"/>
    <cellStyle name="Accent1 18" xfId="1695"/>
    <cellStyle name="Accent1 19" xfId="1696"/>
    <cellStyle name="Accent1 2" xfId="1697"/>
    <cellStyle name="Accent1 2 10" xfId="1698"/>
    <cellStyle name="Accent1 2 11" xfId="1699"/>
    <cellStyle name="Accent1 2 12" xfId="1700"/>
    <cellStyle name="Accent1 2 13" xfId="1701"/>
    <cellStyle name="Accent1 2 14" xfId="1702"/>
    <cellStyle name="Accent1 2 15" xfId="1703"/>
    <cellStyle name="Accent1 2 2" xfId="1704"/>
    <cellStyle name="Accent1 2 3" xfId="1705"/>
    <cellStyle name="Accent1 2 4" xfId="1706"/>
    <cellStyle name="Accent1 2 5" xfId="1707"/>
    <cellStyle name="Accent1 2 6" xfId="1708"/>
    <cellStyle name="Accent1 2 7" xfId="1709"/>
    <cellStyle name="Accent1 2 8" xfId="1710"/>
    <cellStyle name="Accent1 2 9" xfId="1711"/>
    <cellStyle name="Accent1 20" xfId="4332"/>
    <cellStyle name="Accent1 3" xfId="1712"/>
    <cellStyle name="Accent1 3 2" xfId="1713"/>
    <cellStyle name="Accent1 3 3" xfId="1714"/>
    <cellStyle name="Accent1 3 4" xfId="1715"/>
    <cellStyle name="Accent1 3 5" xfId="1716"/>
    <cellStyle name="Accent1 3 5 2" xfId="1717"/>
    <cellStyle name="Accent1 3 6" xfId="1718"/>
    <cellStyle name="Accent1 3 7" xfId="1719"/>
    <cellStyle name="Accent1 3 8" xfId="1720"/>
    <cellStyle name="Accent1 3 9" xfId="1721"/>
    <cellStyle name="Accent1 4" xfId="1722"/>
    <cellStyle name="Accent1 4 2" xfId="1723"/>
    <cellStyle name="Accent1 5" xfId="1724"/>
    <cellStyle name="Accent1 5 2" xfId="1725"/>
    <cellStyle name="Accent1 6" xfId="1726"/>
    <cellStyle name="Accent1 6 2" xfId="1727"/>
    <cellStyle name="Accent1 7" xfId="1728"/>
    <cellStyle name="Accent1 8" xfId="1729"/>
    <cellStyle name="Accent1 9" xfId="1730"/>
    <cellStyle name="Accent1 9 2" xfId="1731"/>
    <cellStyle name="Accent1 9 2 2" xfId="1732"/>
    <cellStyle name="Accent1 9 3" xfId="1733"/>
    <cellStyle name="Accent1 9 4" xfId="1734"/>
    <cellStyle name="Accent1 9 5" xfId="1735"/>
    <cellStyle name="Accent2 10" xfId="1736"/>
    <cellStyle name="Accent2 10 2" xfId="1737"/>
    <cellStyle name="Accent2 10 3" xfId="1738"/>
    <cellStyle name="Accent2 11" xfId="1739"/>
    <cellStyle name="Accent2 11 2" xfId="1740"/>
    <cellStyle name="Accent2 11 3" xfId="1741"/>
    <cellStyle name="Accent2 12" xfId="1742"/>
    <cellStyle name="Accent2 12 2" xfId="1743"/>
    <cellStyle name="Accent2 12 3" xfId="1744"/>
    <cellStyle name="Accent2 13" xfId="1745"/>
    <cellStyle name="Accent2 13 2" xfId="1746"/>
    <cellStyle name="Accent2 13 3" xfId="1747"/>
    <cellStyle name="Accent2 14" xfId="1748"/>
    <cellStyle name="Accent2 14 2" xfId="1749"/>
    <cellStyle name="Accent2 14 3" xfId="1750"/>
    <cellStyle name="Accent2 15" xfId="1751"/>
    <cellStyle name="Accent2 15 2" xfId="1752"/>
    <cellStyle name="Accent2 15 3" xfId="1753"/>
    <cellStyle name="Accent2 16" xfId="1754"/>
    <cellStyle name="Accent2 17" xfId="1755"/>
    <cellStyle name="Accent2 18" xfId="1756"/>
    <cellStyle name="Accent2 19" xfId="1757"/>
    <cellStyle name="Accent2 2" xfId="1758"/>
    <cellStyle name="Accent2 2 10" xfId="1759"/>
    <cellStyle name="Accent2 2 11" xfId="1760"/>
    <cellStyle name="Accent2 2 12" xfId="1761"/>
    <cellStyle name="Accent2 2 13" xfId="1762"/>
    <cellStyle name="Accent2 2 14" xfId="1763"/>
    <cellStyle name="Accent2 2 15" xfId="1764"/>
    <cellStyle name="Accent2 2 2" xfId="1765"/>
    <cellStyle name="Accent2 2 3" xfId="1766"/>
    <cellStyle name="Accent2 2 4" xfId="1767"/>
    <cellStyle name="Accent2 2 5" xfId="1768"/>
    <cellStyle name="Accent2 2 6" xfId="1769"/>
    <cellStyle name="Accent2 2 7" xfId="1770"/>
    <cellStyle name="Accent2 2 8" xfId="1771"/>
    <cellStyle name="Accent2 2 9" xfId="1772"/>
    <cellStyle name="Accent2 20" xfId="4333"/>
    <cellStyle name="Accent2 3" xfId="1773"/>
    <cellStyle name="Accent2 3 2" xfId="1774"/>
    <cellStyle name="Accent2 3 3" xfId="1775"/>
    <cellStyle name="Accent2 3 4" xfId="1776"/>
    <cellStyle name="Accent2 3 5" xfId="1777"/>
    <cellStyle name="Accent2 3 5 2" xfId="1778"/>
    <cellStyle name="Accent2 3 6" xfId="1779"/>
    <cellStyle name="Accent2 3 7" xfId="1780"/>
    <cellStyle name="Accent2 3 8" xfId="1781"/>
    <cellStyle name="Accent2 3 9" xfId="1782"/>
    <cellStyle name="Accent2 4" xfId="1783"/>
    <cellStyle name="Accent2 4 2" xfId="1784"/>
    <cellStyle name="Accent2 5" xfId="1785"/>
    <cellStyle name="Accent2 5 2" xfId="1786"/>
    <cellStyle name="Accent2 6" xfId="1787"/>
    <cellStyle name="Accent2 6 2" xfId="1788"/>
    <cellStyle name="Accent2 7" xfId="1789"/>
    <cellStyle name="Accent2 8" xfId="1790"/>
    <cellStyle name="Accent2 9" xfId="1791"/>
    <cellStyle name="Accent2 9 2" xfId="1792"/>
    <cellStyle name="Accent2 9 2 2" xfId="1793"/>
    <cellStyle name="Accent2 9 3" xfId="1794"/>
    <cellStyle name="Accent2 9 4" xfId="1795"/>
    <cellStyle name="Accent2 9 5" xfId="1796"/>
    <cellStyle name="Accent3 10" xfId="1797"/>
    <cellStyle name="Accent3 10 2" xfId="1798"/>
    <cellStyle name="Accent3 10 3" xfId="1799"/>
    <cellStyle name="Accent3 11" xfId="1800"/>
    <cellStyle name="Accent3 11 2" xfId="1801"/>
    <cellStyle name="Accent3 11 3" xfId="1802"/>
    <cellStyle name="Accent3 12" xfId="1803"/>
    <cellStyle name="Accent3 12 2" xfId="1804"/>
    <cellStyle name="Accent3 12 3" xfId="1805"/>
    <cellStyle name="Accent3 13" xfId="1806"/>
    <cellStyle name="Accent3 13 2" xfId="1807"/>
    <cellStyle name="Accent3 13 3" xfId="1808"/>
    <cellStyle name="Accent3 14" xfId="1809"/>
    <cellStyle name="Accent3 14 2" xfId="1810"/>
    <cellStyle name="Accent3 14 3" xfId="1811"/>
    <cellStyle name="Accent3 15" xfId="1812"/>
    <cellStyle name="Accent3 15 2" xfId="1813"/>
    <cellStyle name="Accent3 15 3" xfId="1814"/>
    <cellStyle name="Accent3 16" xfId="1815"/>
    <cellStyle name="Accent3 17" xfId="1816"/>
    <cellStyle name="Accent3 18" xfId="1817"/>
    <cellStyle name="Accent3 19" xfId="1818"/>
    <cellStyle name="Accent3 2" xfId="1819"/>
    <cellStyle name="Accent3 2 10" xfId="1820"/>
    <cellStyle name="Accent3 2 11" xfId="1821"/>
    <cellStyle name="Accent3 2 12" xfId="1822"/>
    <cellStyle name="Accent3 2 13" xfId="1823"/>
    <cellStyle name="Accent3 2 14" xfId="1824"/>
    <cellStyle name="Accent3 2 15" xfId="1825"/>
    <cellStyle name="Accent3 2 2" xfId="1826"/>
    <cellStyle name="Accent3 2 3" xfId="1827"/>
    <cellStyle name="Accent3 2 4" xfId="1828"/>
    <cellStyle name="Accent3 2 5" xfId="1829"/>
    <cellStyle name="Accent3 2 6" xfId="1830"/>
    <cellStyle name="Accent3 2 7" xfId="1831"/>
    <cellStyle name="Accent3 2 8" xfId="1832"/>
    <cellStyle name="Accent3 2 9" xfId="1833"/>
    <cellStyle name="Accent3 20" xfId="4334"/>
    <cellStyle name="Accent3 3" xfId="1834"/>
    <cellStyle name="Accent3 3 2" xfId="1835"/>
    <cellStyle name="Accent3 3 3" xfId="1836"/>
    <cellStyle name="Accent3 3 4" xfId="1837"/>
    <cellStyle name="Accent3 3 5" xfId="1838"/>
    <cellStyle name="Accent3 3 5 2" xfId="1839"/>
    <cellStyle name="Accent3 3 6" xfId="1840"/>
    <cellStyle name="Accent3 3 7" xfId="1841"/>
    <cellStyle name="Accent3 3 8" xfId="1842"/>
    <cellStyle name="Accent3 3 9" xfId="1843"/>
    <cellStyle name="Accent3 4" xfId="1844"/>
    <cellStyle name="Accent3 4 2" xfId="1845"/>
    <cellStyle name="Accent3 5" xfId="1846"/>
    <cellStyle name="Accent3 5 2" xfId="1847"/>
    <cellStyle name="Accent3 6" xfId="1848"/>
    <cellStyle name="Accent3 6 2" xfId="1849"/>
    <cellStyle name="Accent3 7" xfId="1850"/>
    <cellStyle name="Accent3 8" xfId="1851"/>
    <cellStyle name="Accent3 9" xfId="1852"/>
    <cellStyle name="Accent3 9 2" xfId="1853"/>
    <cellStyle name="Accent3 9 2 2" xfId="1854"/>
    <cellStyle name="Accent3 9 3" xfId="1855"/>
    <cellStyle name="Accent3 9 4" xfId="1856"/>
    <cellStyle name="Accent3 9 5" xfId="1857"/>
    <cellStyle name="Accent4 10" xfId="1858"/>
    <cellStyle name="Accent4 10 2" xfId="1859"/>
    <cellStyle name="Accent4 10 3" xfId="1860"/>
    <cellStyle name="Accent4 11" xfId="1861"/>
    <cellStyle name="Accent4 11 2" xfId="1862"/>
    <cellStyle name="Accent4 11 3" xfId="1863"/>
    <cellStyle name="Accent4 12" xfId="1864"/>
    <cellStyle name="Accent4 12 2" xfId="1865"/>
    <cellStyle name="Accent4 12 3" xfId="1866"/>
    <cellStyle name="Accent4 13" xfId="1867"/>
    <cellStyle name="Accent4 13 2" xfId="1868"/>
    <cellStyle name="Accent4 13 3" xfId="1869"/>
    <cellStyle name="Accent4 14" xfId="1870"/>
    <cellStyle name="Accent4 14 2" xfId="1871"/>
    <cellStyle name="Accent4 14 3" xfId="1872"/>
    <cellStyle name="Accent4 15" xfId="1873"/>
    <cellStyle name="Accent4 15 2" xfId="1874"/>
    <cellStyle name="Accent4 15 3" xfId="1875"/>
    <cellStyle name="Accent4 16" xfId="1876"/>
    <cellStyle name="Accent4 17" xfId="1877"/>
    <cellStyle name="Accent4 18" xfId="1878"/>
    <cellStyle name="Accent4 19" xfId="1879"/>
    <cellStyle name="Accent4 2" xfId="1880"/>
    <cellStyle name="Accent4 2 10" xfId="1881"/>
    <cellStyle name="Accent4 2 11" xfId="1882"/>
    <cellStyle name="Accent4 2 12" xfId="1883"/>
    <cellStyle name="Accent4 2 13" xfId="1884"/>
    <cellStyle name="Accent4 2 14" xfId="1885"/>
    <cellStyle name="Accent4 2 15" xfId="1886"/>
    <cellStyle name="Accent4 2 2" xfId="1887"/>
    <cellStyle name="Accent4 2 3" xfId="1888"/>
    <cellStyle name="Accent4 2 4" xfId="1889"/>
    <cellStyle name="Accent4 2 5" xfId="1890"/>
    <cellStyle name="Accent4 2 6" xfId="1891"/>
    <cellStyle name="Accent4 2 7" xfId="1892"/>
    <cellStyle name="Accent4 2 8" xfId="1893"/>
    <cellStyle name="Accent4 2 9" xfId="1894"/>
    <cellStyle name="Accent4 20" xfId="4335"/>
    <cellStyle name="Accent4 3" xfId="1895"/>
    <cellStyle name="Accent4 3 2" xfId="1896"/>
    <cellStyle name="Accent4 3 3" xfId="1897"/>
    <cellStyle name="Accent4 3 4" xfId="1898"/>
    <cellStyle name="Accent4 3 5" xfId="1899"/>
    <cellStyle name="Accent4 3 5 2" xfId="1900"/>
    <cellStyle name="Accent4 3 6" xfId="1901"/>
    <cellStyle name="Accent4 3 7" xfId="1902"/>
    <cellStyle name="Accent4 3 8" xfId="1903"/>
    <cellStyle name="Accent4 3 9" xfId="1904"/>
    <cellStyle name="Accent4 4" xfId="1905"/>
    <cellStyle name="Accent4 4 2" xfId="1906"/>
    <cellStyle name="Accent4 5" xfId="1907"/>
    <cellStyle name="Accent4 5 2" xfId="1908"/>
    <cellStyle name="Accent4 6" xfId="1909"/>
    <cellStyle name="Accent4 6 2" xfId="1910"/>
    <cellStyle name="Accent4 7" xfId="1911"/>
    <cellStyle name="Accent4 8" xfId="1912"/>
    <cellStyle name="Accent4 9" xfId="1913"/>
    <cellStyle name="Accent4 9 2" xfId="1914"/>
    <cellStyle name="Accent4 9 2 2" xfId="1915"/>
    <cellStyle name="Accent4 9 3" xfId="1916"/>
    <cellStyle name="Accent4 9 4" xfId="1917"/>
    <cellStyle name="Accent4 9 5" xfId="1918"/>
    <cellStyle name="Accent5 10" xfId="1919"/>
    <cellStyle name="Accent5 10 2" xfId="1920"/>
    <cellStyle name="Accent5 10 3" xfId="1921"/>
    <cellStyle name="Accent5 11" xfId="1922"/>
    <cellStyle name="Accent5 11 2" xfId="1923"/>
    <cellStyle name="Accent5 11 3" xfId="1924"/>
    <cellStyle name="Accent5 12" xfId="1925"/>
    <cellStyle name="Accent5 12 2" xfId="1926"/>
    <cellStyle name="Accent5 12 3" xfId="1927"/>
    <cellStyle name="Accent5 13" xfId="1928"/>
    <cellStyle name="Accent5 13 2" xfId="1929"/>
    <cellStyle name="Accent5 13 3" xfId="1930"/>
    <cellStyle name="Accent5 14" xfId="1931"/>
    <cellStyle name="Accent5 14 2" xfId="1932"/>
    <cellStyle name="Accent5 14 3" xfId="1933"/>
    <cellStyle name="Accent5 15" xfId="1934"/>
    <cellStyle name="Accent5 15 2" xfId="1935"/>
    <cellStyle name="Accent5 15 3" xfId="1936"/>
    <cellStyle name="Accent5 16" xfId="1937"/>
    <cellStyle name="Accent5 17" xfId="1938"/>
    <cellStyle name="Accent5 18" xfId="1939"/>
    <cellStyle name="Accent5 19" xfId="1940"/>
    <cellStyle name="Accent5 2" xfId="1941"/>
    <cellStyle name="Accent5 2 10" xfId="1942"/>
    <cellStyle name="Accent5 2 11" xfId="1943"/>
    <cellStyle name="Accent5 2 12" xfId="1944"/>
    <cellStyle name="Accent5 2 13" xfId="1945"/>
    <cellStyle name="Accent5 2 14" xfId="1946"/>
    <cellStyle name="Accent5 2 15" xfId="1947"/>
    <cellStyle name="Accent5 2 2" xfId="1948"/>
    <cellStyle name="Accent5 2 3" xfId="1949"/>
    <cellStyle name="Accent5 2 4" xfId="1950"/>
    <cellStyle name="Accent5 2 5" xfId="1951"/>
    <cellStyle name="Accent5 2 6" xfId="1952"/>
    <cellStyle name="Accent5 2 7" xfId="1953"/>
    <cellStyle name="Accent5 2 8" xfId="1954"/>
    <cellStyle name="Accent5 2 9" xfId="1955"/>
    <cellStyle name="Accent5 20" xfId="4336"/>
    <cellStyle name="Accent5 3" xfId="1956"/>
    <cellStyle name="Accent5 3 2" xfId="1957"/>
    <cellStyle name="Accent5 3 3" xfId="1958"/>
    <cellStyle name="Accent5 3 4" xfId="1959"/>
    <cellStyle name="Accent5 3 5" xfId="1960"/>
    <cellStyle name="Accent5 3 6" xfId="1961"/>
    <cellStyle name="Accent5 3 7" xfId="1962"/>
    <cellStyle name="Accent5 3 8" xfId="1963"/>
    <cellStyle name="Accent5 4" xfId="1964"/>
    <cellStyle name="Accent5 4 2" xfId="1965"/>
    <cellStyle name="Accent5 5" xfId="1966"/>
    <cellStyle name="Accent5 5 2" xfId="1967"/>
    <cellStyle name="Accent5 6" xfId="1968"/>
    <cellStyle name="Accent5 6 2" xfId="1969"/>
    <cellStyle name="Accent5 7" xfId="1970"/>
    <cellStyle name="Accent5 8" xfId="1971"/>
    <cellStyle name="Accent5 9" xfId="1972"/>
    <cellStyle name="Accent5 9 2" xfId="1973"/>
    <cellStyle name="Accent5 9 3" xfId="1974"/>
    <cellStyle name="Accent5 9 4" xfId="1975"/>
    <cellStyle name="Accent6 10" xfId="1976"/>
    <cellStyle name="Accent6 10 2" xfId="1977"/>
    <cellStyle name="Accent6 10 3" xfId="1978"/>
    <cellStyle name="Accent6 11" xfId="1979"/>
    <cellStyle name="Accent6 11 2" xfId="1980"/>
    <cellStyle name="Accent6 11 3" xfId="1981"/>
    <cellStyle name="Accent6 12" xfId="1982"/>
    <cellStyle name="Accent6 12 2" xfId="1983"/>
    <cellStyle name="Accent6 12 3" xfId="1984"/>
    <cellStyle name="Accent6 13" xfId="1985"/>
    <cellStyle name="Accent6 13 2" xfId="1986"/>
    <cellStyle name="Accent6 13 3" xfId="1987"/>
    <cellStyle name="Accent6 14" xfId="1988"/>
    <cellStyle name="Accent6 14 2" xfId="1989"/>
    <cellStyle name="Accent6 14 3" xfId="1990"/>
    <cellStyle name="Accent6 15" xfId="1991"/>
    <cellStyle name="Accent6 15 2" xfId="1992"/>
    <cellStyle name="Accent6 15 3" xfId="1993"/>
    <cellStyle name="Accent6 16" xfId="1994"/>
    <cellStyle name="Accent6 17" xfId="1995"/>
    <cellStyle name="Accent6 18" xfId="1996"/>
    <cellStyle name="Accent6 19" xfId="1997"/>
    <cellStyle name="Accent6 2" xfId="1998"/>
    <cellStyle name="Accent6 2 10" xfId="1999"/>
    <cellStyle name="Accent6 2 11" xfId="2000"/>
    <cellStyle name="Accent6 2 12" xfId="2001"/>
    <cellStyle name="Accent6 2 13" xfId="2002"/>
    <cellStyle name="Accent6 2 14" xfId="2003"/>
    <cellStyle name="Accent6 2 15" xfId="2004"/>
    <cellStyle name="Accent6 2 2" xfId="2005"/>
    <cellStyle name="Accent6 2 3" xfId="2006"/>
    <cellStyle name="Accent6 2 4" xfId="2007"/>
    <cellStyle name="Accent6 2 5" xfId="2008"/>
    <cellStyle name="Accent6 2 6" xfId="2009"/>
    <cellStyle name="Accent6 2 7" xfId="2010"/>
    <cellStyle name="Accent6 2 8" xfId="2011"/>
    <cellStyle name="Accent6 2 9" xfId="2012"/>
    <cellStyle name="Accent6 20" xfId="4337"/>
    <cellStyle name="Accent6 3" xfId="2013"/>
    <cellStyle name="Accent6 3 2" xfId="2014"/>
    <cellStyle name="Accent6 3 3" xfId="2015"/>
    <cellStyle name="Accent6 3 4" xfId="2016"/>
    <cellStyle name="Accent6 3 5" xfId="2017"/>
    <cellStyle name="Accent6 3 5 2" xfId="2018"/>
    <cellStyle name="Accent6 3 6" xfId="2019"/>
    <cellStyle name="Accent6 3 7" xfId="2020"/>
    <cellStyle name="Accent6 3 8" xfId="2021"/>
    <cellStyle name="Accent6 3 9" xfId="2022"/>
    <cellStyle name="Accent6 4" xfId="2023"/>
    <cellStyle name="Accent6 4 2" xfId="2024"/>
    <cellStyle name="Accent6 5" xfId="2025"/>
    <cellStyle name="Accent6 5 2" xfId="2026"/>
    <cellStyle name="Accent6 6" xfId="2027"/>
    <cellStyle name="Accent6 6 2" xfId="2028"/>
    <cellStyle name="Accent6 7" xfId="2029"/>
    <cellStyle name="Accent6 8" xfId="2030"/>
    <cellStyle name="Accent6 9" xfId="2031"/>
    <cellStyle name="Accent6 9 2" xfId="2032"/>
    <cellStyle name="Accent6 9 2 2" xfId="2033"/>
    <cellStyle name="Accent6 9 3" xfId="2034"/>
    <cellStyle name="Accent6 9 4" xfId="2035"/>
    <cellStyle name="Accent6 9 5" xfId="2036"/>
    <cellStyle name="Accounting" xfId="2037"/>
    <cellStyle name="Actual Date" xfId="2038"/>
    <cellStyle name="amount" xfId="2039"/>
    <cellStyle name="amount 10" xfId="2040"/>
    <cellStyle name="amount 11" xfId="2041"/>
    <cellStyle name="amount 12" xfId="2042"/>
    <cellStyle name="amount 2" xfId="2043"/>
    <cellStyle name="amount 3" xfId="2044"/>
    <cellStyle name="amount 4" xfId="2045"/>
    <cellStyle name="amount 5" xfId="2046"/>
    <cellStyle name="amount 6" xfId="2047"/>
    <cellStyle name="amount 7" xfId="2048"/>
    <cellStyle name="amount 8" xfId="2049"/>
    <cellStyle name="amount 9" xfId="2050"/>
    <cellStyle name="args.style" xfId="2051"/>
    <cellStyle name="args.style 2" xfId="2052"/>
    <cellStyle name="Arial 10" xfId="2053"/>
    <cellStyle name="Arial 12" xfId="2054"/>
    <cellStyle name="AxeHor" xfId="2055"/>
    <cellStyle name="azert - Style1" xfId="2056"/>
    <cellStyle name="Bad 10" xfId="2057"/>
    <cellStyle name="Bad 10 2" xfId="2058"/>
    <cellStyle name="Bad 10 3" xfId="2059"/>
    <cellStyle name="Bad 11" xfId="2060"/>
    <cellStyle name="Bad 11 2" xfId="2061"/>
    <cellStyle name="Bad 11 3" xfId="2062"/>
    <cellStyle name="Bad 12" xfId="2063"/>
    <cellStyle name="Bad 12 2" xfId="2064"/>
    <cellStyle name="Bad 12 3" xfId="2065"/>
    <cellStyle name="Bad 13" xfId="2066"/>
    <cellStyle name="Bad 13 2" xfId="2067"/>
    <cellStyle name="Bad 13 3" xfId="2068"/>
    <cellStyle name="Bad 14" xfId="2069"/>
    <cellStyle name="Bad 14 2" xfId="2070"/>
    <cellStyle name="Bad 14 3" xfId="2071"/>
    <cellStyle name="Bad 15" xfId="2072"/>
    <cellStyle name="Bad 15 2" xfId="2073"/>
    <cellStyle name="Bad 15 3" xfId="2074"/>
    <cellStyle name="Bad 16" xfId="2075"/>
    <cellStyle name="Bad 17" xfId="2076"/>
    <cellStyle name="Bad 18" xfId="2077"/>
    <cellStyle name="Bad 19" xfId="2078"/>
    <cellStyle name="Bad 2" xfId="2079"/>
    <cellStyle name="Bad 2 10" xfId="2080"/>
    <cellStyle name="Bad 2 11" xfId="2081"/>
    <cellStyle name="Bad 2 12" xfId="2082"/>
    <cellStyle name="Bad 2 13" xfId="2083"/>
    <cellStyle name="Bad 2 14" xfId="2084"/>
    <cellStyle name="Bad 2 15" xfId="2085"/>
    <cellStyle name="Bad 2 2" xfId="2086"/>
    <cellStyle name="Bad 2 3" xfId="2087"/>
    <cellStyle name="Bad 2 4" xfId="2088"/>
    <cellStyle name="Bad 2 5" xfId="2089"/>
    <cellStyle name="Bad 2 6" xfId="2090"/>
    <cellStyle name="Bad 2 7" xfId="2091"/>
    <cellStyle name="Bad 2 8" xfId="2092"/>
    <cellStyle name="Bad 2 9" xfId="2093"/>
    <cellStyle name="Bad 20" xfId="4338"/>
    <cellStyle name="Bad 3" xfId="2094"/>
    <cellStyle name="Bad 3 2" xfId="2095"/>
    <cellStyle name="Bad 3 3" xfId="2096"/>
    <cellStyle name="Bad 3 4" xfId="2097"/>
    <cellStyle name="Bad 3 5" xfId="2098"/>
    <cellStyle name="Bad 3 5 2" xfId="2099"/>
    <cellStyle name="Bad 3 6" xfId="2100"/>
    <cellStyle name="Bad 3 7" xfId="2101"/>
    <cellStyle name="Bad 3 8" xfId="2102"/>
    <cellStyle name="Bad 3 9" xfId="2103"/>
    <cellStyle name="Bad 4" xfId="2104"/>
    <cellStyle name="Bad 4 2" xfId="2105"/>
    <cellStyle name="Bad 5" xfId="2106"/>
    <cellStyle name="Bad 5 2" xfId="2107"/>
    <cellStyle name="Bad 6" xfId="2108"/>
    <cellStyle name="Bad 6 2" xfId="2109"/>
    <cellStyle name="Bad 7" xfId="2110"/>
    <cellStyle name="Bad 8" xfId="2111"/>
    <cellStyle name="Bad 9" xfId="2112"/>
    <cellStyle name="Bad 9 2" xfId="2113"/>
    <cellStyle name="Bad 9 2 2" xfId="2114"/>
    <cellStyle name="Bad 9 3" xfId="2115"/>
    <cellStyle name="Bad 9 4" xfId="2116"/>
    <cellStyle name="Bad 9 5" xfId="2117"/>
    <cellStyle name="bartitre" xfId="2118"/>
    <cellStyle name="bartotal" xfId="2119"/>
    <cellStyle name="Big head" xfId="2120"/>
    <cellStyle name="blue shading" xfId="2121"/>
    <cellStyle name="Blue Title" xfId="2122"/>
    <cellStyle name="Bob" xfId="2123"/>
    <cellStyle name="Bob 1" xfId="2124"/>
    <cellStyle name="Bob 3" xfId="2125"/>
    <cellStyle name="bob_boite - choix table" xfId="2126"/>
    <cellStyle name="Bob2" xfId="2127"/>
    <cellStyle name="Body text" xfId="2128"/>
    <cellStyle name="Body text 10" xfId="2129"/>
    <cellStyle name="Body text 11" xfId="2130"/>
    <cellStyle name="Body text 12" xfId="2131"/>
    <cellStyle name="Body text 2" xfId="2132"/>
    <cellStyle name="Body text 3" xfId="2133"/>
    <cellStyle name="Body text 4" xfId="2134"/>
    <cellStyle name="Body text 5" xfId="2135"/>
    <cellStyle name="Body text 6" xfId="2136"/>
    <cellStyle name="Body text 7" xfId="2137"/>
    <cellStyle name="Body text 8" xfId="2138"/>
    <cellStyle name="Body text 9" xfId="2139"/>
    <cellStyle name="Border" xfId="2140"/>
    <cellStyle name="Border Heavy" xfId="2141"/>
    <cellStyle name="Border Thin" xfId="2142"/>
    <cellStyle name="British Pound" xfId="2143"/>
    <cellStyle name="Calc Currency (0)" xfId="2144"/>
    <cellStyle name="Calc Currency (0) 2" xfId="2145"/>
    <cellStyle name="Calc Currency (2)" xfId="2146"/>
    <cellStyle name="Calc Currency (2) 2" xfId="2147"/>
    <cellStyle name="Calc Percent (0)" xfId="2148"/>
    <cellStyle name="Calc Percent (0) 2" xfId="2149"/>
    <cellStyle name="Calc Percent (1)" xfId="2150"/>
    <cellStyle name="Calc Percent (1) 2" xfId="2151"/>
    <cellStyle name="Calc Percent (2)" xfId="2152"/>
    <cellStyle name="Calc Percent (2) 2" xfId="2153"/>
    <cellStyle name="Calc Units (0)" xfId="2154"/>
    <cellStyle name="Calc Units (0) 2" xfId="2155"/>
    <cellStyle name="Calc Units (1)" xfId="2156"/>
    <cellStyle name="Calc Units (1) 2" xfId="2157"/>
    <cellStyle name="Calc Units (2)" xfId="2158"/>
    <cellStyle name="Calc Units (2) 2" xfId="2159"/>
    <cellStyle name="Calcul" xfId="2160"/>
    <cellStyle name="Calculation 10" xfId="2161"/>
    <cellStyle name="Calculation 10 2" xfId="2162"/>
    <cellStyle name="Calculation 10 3" xfId="2163"/>
    <cellStyle name="Calculation 11" xfId="2164"/>
    <cellStyle name="Calculation 11 2" xfId="2165"/>
    <cellStyle name="Calculation 11 3" xfId="2166"/>
    <cellStyle name="Calculation 12" xfId="2167"/>
    <cellStyle name="Calculation 12 2" xfId="2168"/>
    <cellStyle name="Calculation 12 3" xfId="2169"/>
    <cellStyle name="Calculation 13" xfId="2170"/>
    <cellStyle name="Calculation 13 2" xfId="2171"/>
    <cellStyle name="Calculation 13 3" xfId="2172"/>
    <cellStyle name="Calculation 14" xfId="2173"/>
    <cellStyle name="Calculation 14 2" xfId="2174"/>
    <cellStyle name="Calculation 14 3" xfId="2175"/>
    <cellStyle name="Calculation 15" xfId="2176"/>
    <cellStyle name="Calculation 15 2" xfId="2177"/>
    <cellStyle name="Calculation 15 3" xfId="2178"/>
    <cellStyle name="Calculation 16" xfId="2179"/>
    <cellStyle name="Calculation 17" xfId="2180"/>
    <cellStyle name="Calculation 18" xfId="2181"/>
    <cellStyle name="Calculation 19" xfId="2182"/>
    <cellStyle name="Calculation 2" xfId="2183"/>
    <cellStyle name="Calculation 2 10" xfId="2184"/>
    <cellStyle name="Calculation 2 11" xfId="2185"/>
    <cellStyle name="Calculation 2 12" xfId="2186"/>
    <cellStyle name="Calculation 2 13" xfId="2187"/>
    <cellStyle name="Calculation 2 14" xfId="2188"/>
    <cellStyle name="Calculation 2 15" xfId="2189"/>
    <cellStyle name="Calculation 2 2" xfId="2190"/>
    <cellStyle name="Calculation 2 3" xfId="2191"/>
    <cellStyle name="Calculation 2 4" xfId="2192"/>
    <cellStyle name="Calculation 2 5" xfId="2193"/>
    <cellStyle name="Calculation 2 6" xfId="2194"/>
    <cellStyle name="Calculation 2 7" xfId="2195"/>
    <cellStyle name="Calculation 2 8" xfId="2196"/>
    <cellStyle name="Calculation 2 9" xfId="2197"/>
    <cellStyle name="Calculation 20" xfId="4339"/>
    <cellStyle name="Calculation 3" xfId="2198"/>
    <cellStyle name="Calculation 3 2" xfId="2199"/>
    <cellStyle name="Calculation 3 3" xfId="2200"/>
    <cellStyle name="Calculation 3 4" xfId="2201"/>
    <cellStyle name="Calculation 3 5" xfId="2202"/>
    <cellStyle name="Calculation 3 5 2" xfId="2203"/>
    <cellStyle name="Calculation 3 6" xfId="2204"/>
    <cellStyle name="Calculation 3 7" xfId="2205"/>
    <cellStyle name="Calculation 3 8" xfId="2206"/>
    <cellStyle name="Calculation 3 9" xfId="2207"/>
    <cellStyle name="Calculation 4" xfId="2208"/>
    <cellStyle name="Calculation 4 2" xfId="2209"/>
    <cellStyle name="Calculation 5" xfId="2210"/>
    <cellStyle name="Calculation 5 2" xfId="2211"/>
    <cellStyle name="Calculation 6" xfId="2212"/>
    <cellStyle name="Calculation 6 2" xfId="2213"/>
    <cellStyle name="Calculation 7" xfId="2214"/>
    <cellStyle name="Calculation 8" xfId="2215"/>
    <cellStyle name="Calculation 9" xfId="2216"/>
    <cellStyle name="Calculation 9 2" xfId="2217"/>
    <cellStyle name="Calculation 9 2 2" xfId="2218"/>
    <cellStyle name="Calculation 9 3" xfId="2219"/>
    <cellStyle name="Calculation 9 4" xfId="2220"/>
    <cellStyle name="Calculation 9 5" xfId="2221"/>
    <cellStyle name="can" xfId="2222"/>
    <cellStyle name="Case" xfId="2223"/>
    <cellStyle name="category" xfId="2224"/>
    <cellStyle name="Centered Heading" xfId="2225"/>
    <cellStyle name="Centered Heading Notes" xfId="2226"/>
    <cellStyle name="Centré" xfId="2227"/>
    <cellStyle name="Change" xfId="2228"/>
    <cellStyle name="ChartingText" xfId="2229"/>
    <cellStyle name="Check Cell 10" xfId="2230"/>
    <cellStyle name="Check Cell 10 2" xfId="2231"/>
    <cellStyle name="Check Cell 10 3" xfId="2232"/>
    <cellStyle name="Check Cell 11" xfId="2233"/>
    <cellStyle name="Check Cell 11 2" xfId="2234"/>
    <cellStyle name="Check Cell 11 3" xfId="2235"/>
    <cellStyle name="Check Cell 12" xfId="2236"/>
    <cellStyle name="Check Cell 12 2" xfId="2237"/>
    <cellStyle name="Check Cell 12 3" xfId="2238"/>
    <cellStyle name="Check Cell 13" xfId="2239"/>
    <cellStyle name="Check Cell 13 2" xfId="2240"/>
    <cellStyle name="Check Cell 13 3" xfId="2241"/>
    <cellStyle name="Check Cell 14" xfId="2242"/>
    <cellStyle name="Check Cell 14 2" xfId="2243"/>
    <cellStyle name="Check Cell 14 3" xfId="2244"/>
    <cellStyle name="Check Cell 15" xfId="2245"/>
    <cellStyle name="Check Cell 15 2" xfId="2246"/>
    <cellStyle name="Check Cell 15 3" xfId="2247"/>
    <cellStyle name="Check Cell 16" xfId="2248"/>
    <cellStyle name="Check Cell 17" xfId="2249"/>
    <cellStyle name="Check Cell 18" xfId="2250"/>
    <cellStyle name="Check Cell 19" xfId="2251"/>
    <cellStyle name="Check Cell 2" xfId="2252"/>
    <cellStyle name="Check Cell 2 10" xfId="2253"/>
    <cellStyle name="Check Cell 2 11" xfId="2254"/>
    <cellStyle name="Check Cell 2 12" xfId="2255"/>
    <cellStyle name="Check Cell 2 13" xfId="2256"/>
    <cellStyle name="Check Cell 2 14" xfId="2257"/>
    <cellStyle name="Check Cell 2 15" xfId="2258"/>
    <cellStyle name="Check Cell 2 2" xfId="2259"/>
    <cellStyle name="Check Cell 2 3" xfId="2260"/>
    <cellStyle name="Check Cell 2 4" xfId="2261"/>
    <cellStyle name="Check Cell 2 5" xfId="2262"/>
    <cellStyle name="Check Cell 2 6" xfId="2263"/>
    <cellStyle name="Check Cell 2 7" xfId="2264"/>
    <cellStyle name="Check Cell 2 8" xfId="2265"/>
    <cellStyle name="Check Cell 2 9" xfId="2266"/>
    <cellStyle name="Check Cell 20" xfId="4340"/>
    <cellStyle name="Check Cell 3" xfId="2267"/>
    <cellStyle name="Check Cell 3 2" xfId="2268"/>
    <cellStyle name="Check Cell 3 3" xfId="2269"/>
    <cellStyle name="Check Cell 3 4" xfId="2270"/>
    <cellStyle name="Check Cell 3 5" xfId="2271"/>
    <cellStyle name="Check Cell 3 6" xfId="2272"/>
    <cellStyle name="Check Cell 3 7" xfId="2273"/>
    <cellStyle name="Check Cell 3 8" xfId="2274"/>
    <cellStyle name="Check Cell 4" xfId="2275"/>
    <cellStyle name="Check Cell 4 2" xfId="2276"/>
    <cellStyle name="Check Cell 5" xfId="2277"/>
    <cellStyle name="Check Cell 5 2" xfId="2278"/>
    <cellStyle name="Check Cell 6" xfId="2279"/>
    <cellStyle name="Check Cell 6 2" xfId="2280"/>
    <cellStyle name="Check Cell 7" xfId="2281"/>
    <cellStyle name="Check Cell 8" xfId="2282"/>
    <cellStyle name="Check Cell 9" xfId="2283"/>
    <cellStyle name="Check Cell 9 2" xfId="2284"/>
    <cellStyle name="Check Cell 9 3" xfId="2285"/>
    <cellStyle name="Check Cell 9 4" xfId="2286"/>
    <cellStyle name="ColLevel_0" xfId="2287"/>
    <cellStyle name="ColumnAttributeAbovePrompt" xfId="2288"/>
    <cellStyle name="ColumnAttributePrompt" xfId="2289"/>
    <cellStyle name="ColumnAttributeValue" xfId="2290"/>
    <cellStyle name="ColumnHeaderNormal" xfId="2291"/>
    <cellStyle name="ColumnHeadingPrompt" xfId="2292"/>
    <cellStyle name="ColumnHeadingValue" xfId="2293"/>
    <cellStyle name="Comma" xfId="1" builtinId="3"/>
    <cellStyle name="Comma  - Style1" xfId="2294"/>
    <cellStyle name="Comma  - Style2" xfId="2295"/>
    <cellStyle name="Comma  - Style3" xfId="2296"/>
    <cellStyle name="Comma  - Style4" xfId="2297"/>
    <cellStyle name="Comma  - Style5" xfId="2298"/>
    <cellStyle name="Comma  - Style6" xfId="2299"/>
    <cellStyle name="Comma  - Style7" xfId="2300"/>
    <cellStyle name="Comma  - Style8" xfId="2301"/>
    <cellStyle name="Comma [00]" xfId="2302"/>
    <cellStyle name="Comma [00] 2" xfId="2303"/>
    <cellStyle name="Comma [1]" xfId="2304"/>
    <cellStyle name="Comma 0" xfId="2305"/>
    <cellStyle name="Comma 0*" xfId="2306"/>
    <cellStyle name="Comma 0_- BP CONSO 2002-2012" xfId="2307"/>
    <cellStyle name="Comma 10" xfId="2308"/>
    <cellStyle name="Comma 11" xfId="2309"/>
    <cellStyle name="Comma 12" xfId="2310"/>
    <cellStyle name="Comma 13" xfId="2311"/>
    <cellStyle name="Comma 14" xfId="2312"/>
    <cellStyle name="Comma 15" xfId="2313"/>
    <cellStyle name="Comma 16" xfId="2314"/>
    <cellStyle name="Comma 17" xfId="2315"/>
    <cellStyle name="Comma 18" xfId="2316"/>
    <cellStyle name="Comma 19" xfId="2317"/>
    <cellStyle name="Comma 2" xfId="6"/>
    <cellStyle name="Comma 2 10" xfId="2318"/>
    <cellStyle name="Comma 2 10 2" xfId="2319"/>
    <cellStyle name="Comma 2 11" xfId="2320"/>
    <cellStyle name="Comma 2 11 2" xfId="2321"/>
    <cellStyle name="Comma 2 12" xfId="2322"/>
    <cellStyle name="Comma 2 12 2" xfId="2323"/>
    <cellStyle name="Comma 2 13" xfId="2324"/>
    <cellStyle name="Comma 2 13 2" xfId="2325"/>
    <cellStyle name="Comma 2 14" xfId="2326"/>
    <cellStyle name="Comma 2 14 2" xfId="2327"/>
    <cellStyle name="Comma 2 15" xfId="2328"/>
    <cellStyle name="Comma 2 16" xfId="2329"/>
    <cellStyle name="Comma 2 2" xfId="2330"/>
    <cellStyle name="Comma 2 2 2" xfId="2331"/>
    <cellStyle name="Comma 2 2 2 2" xfId="2332"/>
    <cellStyle name="Comma 2 2 2 2 2" xfId="2333"/>
    <cellStyle name="Comma 2 2 2 3" xfId="2334"/>
    <cellStyle name="Comma 2 2 3" xfId="2335"/>
    <cellStyle name="Comma 2 2 4" xfId="2336"/>
    <cellStyle name="Comma 2 3" xfId="2337"/>
    <cellStyle name="Comma 2 3 2" xfId="2338"/>
    <cellStyle name="Comma 2 3 2 2" xfId="2339"/>
    <cellStyle name="Comma 2 3 3" xfId="2340"/>
    <cellStyle name="Comma 2 3 4" xfId="2341"/>
    <cellStyle name="Comma 2 3 5" xfId="2342"/>
    <cellStyle name="Comma 2 3 6" xfId="2343"/>
    <cellStyle name="Comma 2 3 7" xfId="2344"/>
    <cellStyle name="Comma 2 4" xfId="2345"/>
    <cellStyle name="Comma 2 4 2" xfId="2346"/>
    <cellStyle name="Comma 2 4 3" xfId="2347"/>
    <cellStyle name="Comma 2 5" xfId="2348"/>
    <cellStyle name="Comma 2 5 2" xfId="2349"/>
    <cellStyle name="Comma 2 5 2 2" xfId="2350"/>
    <cellStyle name="Comma 2 5 3" xfId="2351"/>
    <cellStyle name="Comma 2 5 4" xfId="2352"/>
    <cellStyle name="Comma 2 5 5" xfId="2353"/>
    <cellStyle name="Comma 2 6" xfId="2354"/>
    <cellStyle name="Comma 2 6 2" xfId="2355"/>
    <cellStyle name="Comma 2 7" xfId="2356"/>
    <cellStyle name="Comma 2 7 2" xfId="2357"/>
    <cellStyle name="Comma 2 8" xfId="2358"/>
    <cellStyle name="Comma 2 8 2" xfId="2359"/>
    <cellStyle name="Comma 2 9" xfId="2360"/>
    <cellStyle name="Comma 2 9 2" xfId="2361"/>
    <cellStyle name="Comma 2_Cashflow Q1 CY09" xfId="2362"/>
    <cellStyle name="Comma 20" xfId="2363"/>
    <cellStyle name="Comma 21" xfId="2364"/>
    <cellStyle name="Comma 22" xfId="2365"/>
    <cellStyle name="Comma 23" xfId="2366"/>
    <cellStyle name="Comma 24" xfId="2367"/>
    <cellStyle name="Comma 25" xfId="2368"/>
    <cellStyle name="Comma 26" xfId="2369"/>
    <cellStyle name="Comma 27" xfId="2370"/>
    <cellStyle name="Comma 28" xfId="2371"/>
    <cellStyle name="Comma 29" xfId="2372"/>
    <cellStyle name="Comma 3" xfId="2373"/>
    <cellStyle name="Comma 3 2" xfId="2374"/>
    <cellStyle name="Comma 3 2 2" xfId="2375"/>
    <cellStyle name="Comma 3 2 2 2" xfId="2376"/>
    <cellStyle name="Comma 3 2 2 3" xfId="2377"/>
    <cellStyle name="Comma 3 2 3" xfId="2378"/>
    <cellStyle name="Comma 3 2 4" xfId="2379"/>
    <cellStyle name="Comma 3 3" xfId="2380"/>
    <cellStyle name="Comma 3 4" xfId="2381"/>
    <cellStyle name="Comma 3 4 2" xfId="2382"/>
    <cellStyle name="Comma 3 4 3" xfId="2383"/>
    <cellStyle name="Comma 3 5" xfId="2384"/>
    <cellStyle name="Comma 30" xfId="2385"/>
    <cellStyle name="Comma 31" xfId="2386"/>
    <cellStyle name="Comma 32" xfId="2387"/>
    <cellStyle name="Comma 33" xfId="2388"/>
    <cellStyle name="Comma 34" xfId="2389"/>
    <cellStyle name="Comma 35" xfId="2390"/>
    <cellStyle name="Comma 36" xfId="2391"/>
    <cellStyle name="Comma 37" xfId="2392"/>
    <cellStyle name="Comma 38" xfId="2393"/>
    <cellStyle name="Comma 39" xfId="2394"/>
    <cellStyle name="Comma 4" xfId="2395"/>
    <cellStyle name="Comma 4 2" xfId="2396"/>
    <cellStyle name="Comma 4 2 2" xfId="2397"/>
    <cellStyle name="Comma 4 3" xfId="2398"/>
    <cellStyle name="Comma 40" xfId="2399"/>
    <cellStyle name="Comma 41" xfId="2400"/>
    <cellStyle name="Comma 42" xfId="2401"/>
    <cellStyle name="Comma 43" xfId="2402"/>
    <cellStyle name="Comma 44" xfId="4312"/>
    <cellStyle name="Comma 44 2" xfId="4357"/>
    <cellStyle name="Comma 5" xfId="2403"/>
    <cellStyle name="Comma 5 2" xfId="2404"/>
    <cellStyle name="Comma 5 2 2" xfId="2405"/>
    <cellStyle name="Comma 5 2 2 2" xfId="2406"/>
    <cellStyle name="Comma 5 2 2 3" xfId="2407"/>
    <cellStyle name="Comma 5 2 3" xfId="2408"/>
    <cellStyle name="Comma 5 2 4" xfId="2409"/>
    <cellStyle name="Comma 5 3" xfId="2410"/>
    <cellStyle name="Comma 6" xfId="2411"/>
    <cellStyle name="Comma 6 2" xfId="2412"/>
    <cellStyle name="Comma 6 3" xfId="2413"/>
    <cellStyle name="Comma 7" xfId="2414"/>
    <cellStyle name="Comma 8" xfId="2415"/>
    <cellStyle name="Comma 9" xfId="2416"/>
    <cellStyle name="comma zerodec" xfId="2417"/>
    <cellStyle name="Comma0" xfId="2418"/>
    <cellStyle name="Comma0 2" xfId="2419"/>
    <cellStyle name="Copied" xfId="2420"/>
    <cellStyle name="Copied 2" xfId="2421"/>
    <cellStyle name="Copy Decimal 0" xfId="2422"/>
    <cellStyle name="Copy Decimal 0 10" xfId="2423"/>
    <cellStyle name="Copy Decimal 0 11" xfId="2424"/>
    <cellStyle name="Copy Decimal 0 12" xfId="2425"/>
    <cellStyle name="Copy Decimal 0 2" xfId="2426"/>
    <cellStyle name="Copy Decimal 0 3" xfId="2427"/>
    <cellStyle name="Copy Decimal 0 4" xfId="2428"/>
    <cellStyle name="Copy Decimal 0 5" xfId="2429"/>
    <cellStyle name="Copy Decimal 0 6" xfId="2430"/>
    <cellStyle name="Copy Decimal 0 7" xfId="2431"/>
    <cellStyle name="Copy Decimal 0 8" xfId="2432"/>
    <cellStyle name="Copy Decimal 0 9" xfId="2433"/>
    <cellStyle name="Copy Decimal 0,00" xfId="2434"/>
    <cellStyle name="Copy Decimal 0,00 10" xfId="2435"/>
    <cellStyle name="Copy Decimal 0,00 11" xfId="2436"/>
    <cellStyle name="Copy Decimal 0,00 12" xfId="2437"/>
    <cellStyle name="Copy Decimal 0,00 2" xfId="2438"/>
    <cellStyle name="Copy Decimal 0,00 3" xfId="2439"/>
    <cellStyle name="Copy Decimal 0,00 4" xfId="2440"/>
    <cellStyle name="Copy Decimal 0,00 5" xfId="2441"/>
    <cellStyle name="Copy Decimal 0,00 6" xfId="2442"/>
    <cellStyle name="Copy Decimal 0,00 7" xfId="2443"/>
    <cellStyle name="Copy Decimal 0,00 8" xfId="2444"/>
    <cellStyle name="Copy Decimal 0,00 9" xfId="2445"/>
    <cellStyle name="Copy Decimal 0_Durchrechnung MEU" xfId="2446"/>
    <cellStyle name="Copy Percent 0" xfId="2447"/>
    <cellStyle name="Copy Percent 0 10" xfId="2448"/>
    <cellStyle name="Copy Percent 0 11" xfId="2449"/>
    <cellStyle name="Copy Percent 0 12" xfId="2450"/>
    <cellStyle name="Copy Percent 0 2" xfId="2451"/>
    <cellStyle name="Copy Percent 0 3" xfId="2452"/>
    <cellStyle name="Copy Percent 0 4" xfId="2453"/>
    <cellStyle name="Copy Percent 0 5" xfId="2454"/>
    <cellStyle name="Copy Percent 0 6" xfId="2455"/>
    <cellStyle name="Copy Percent 0 7" xfId="2456"/>
    <cellStyle name="Copy Percent 0 8" xfId="2457"/>
    <cellStyle name="Copy Percent 0 9" xfId="2458"/>
    <cellStyle name="Copy Percent 0,00" xfId="2459"/>
    <cellStyle name="Copy Percent 0,00 10" xfId="2460"/>
    <cellStyle name="Copy Percent 0,00 11" xfId="2461"/>
    <cellStyle name="Copy Percent 0,00 12" xfId="2462"/>
    <cellStyle name="Copy Percent 0,00 2" xfId="2463"/>
    <cellStyle name="Copy Percent 0,00 3" xfId="2464"/>
    <cellStyle name="Copy Percent 0,00 4" xfId="2465"/>
    <cellStyle name="Copy Percent 0,00 5" xfId="2466"/>
    <cellStyle name="Copy Percent 0,00 6" xfId="2467"/>
    <cellStyle name="Copy Percent 0,00 7" xfId="2468"/>
    <cellStyle name="Copy Percent 0,00 8" xfId="2469"/>
    <cellStyle name="Copy Percent 0,00 9" xfId="2470"/>
    <cellStyle name="Copy Percent 0_Form CC 1 2 4 June 05" xfId="2471"/>
    <cellStyle name="COST1" xfId="2472"/>
    <cellStyle name="Cur" xfId="2473"/>
    <cellStyle name="Currency" xfId="2" builtinId="4"/>
    <cellStyle name="Currency [00]" xfId="2474"/>
    <cellStyle name="Currency [00] 2" xfId="2475"/>
    <cellStyle name="Currency [1]" xfId="2476"/>
    <cellStyle name="Currency [2]" xfId="2477"/>
    <cellStyle name="Currency 0" xfId="2478"/>
    <cellStyle name="Currency 10" xfId="2479"/>
    <cellStyle name="Currency 11" xfId="2480"/>
    <cellStyle name="Currency 12" xfId="2481"/>
    <cellStyle name="Currency 13" xfId="2482"/>
    <cellStyle name="Currency 14" xfId="2483"/>
    <cellStyle name="Currency 15" xfId="2484"/>
    <cellStyle name="Currency 16" xfId="2485"/>
    <cellStyle name="Currency 17" xfId="2486"/>
    <cellStyle name="Currency 18" xfId="2487"/>
    <cellStyle name="Currency 19" xfId="4311"/>
    <cellStyle name="Currency 19 2" xfId="4356"/>
    <cellStyle name="Currency 2" xfId="4"/>
    <cellStyle name="Currency 2 10" xfId="2488"/>
    <cellStyle name="Currency 2 11" xfId="2489"/>
    <cellStyle name="Currency 2 12" xfId="2490"/>
    <cellStyle name="Currency 2 13" xfId="2491"/>
    <cellStyle name="Currency 2 14" xfId="2492"/>
    <cellStyle name="Currency 2 15" xfId="2493"/>
    <cellStyle name="Currency 2 2" xfId="2494"/>
    <cellStyle name="Currency 2 3" xfId="2495"/>
    <cellStyle name="Currency 2 4" xfId="2496"/>
    <cellStyle name="Currency 2 5" xfId="2497"/>
    <cellStyle name="Currency 2 6" xfId="2498"/>
    <cellStyle name="Currency 2 7" xfId="2499"/>
    <cellStyle name="Currency 2 8" xfId="2500"/>
    <cellStyle name="Currency 2 9" xfId="2501"/>
    <cellStyle name="Currency 3" xfId="2502"/>
    <cellStyle name="Currency 4" xfId="2503"/>
    <cellStyle name="Currency 4 2" xfId="2504"/>
    <cellStyle name="Currency 4 3" xfId="2505"/>
    <cellStyle name="Currency 4 4" xfId="2506"/>
    <cellStyle name="Currency 5" xfId="2507"/>
    <cellStyle name="Currency 6" xfId="2508"/>
    <cellStyle name="Currency 7" xfId="2509"/>
    <cellStyle name="Currency 8" xfId="2510"/>
    <cellStyle name="Currency 9" xfId="2511"/>
    <cellStyle name="Currency0" xfId="2512"/>
    <cellStyle name="Currency0 2" xfId="2513"/>
    <cellStyle name="Currency1" xfId="2514"/>
    <cellStyle name="Currency-Denomination" xfId="2515"/>
    <cellStyle name="current day" xfId="2516"/>
    <cellStyle name="Cyndie" xfId="2517"/>
    <cellStyle name="DAILY_TITLE" xfId="2518"/>
    <cellStyle name="Data" xfId="2519"/>
    <cellStyle name="Date" xfId="2520"/>
    <cellStyle name="Date [mm-d-yyyy]" xfId="2521"/>
    <cellStyle name="Date [mmm-d-yyyy]" xfId="2522"/>
    <cellStyle name="Date [mmm-yyyy]" xfId="2523"/>
    <cellStyle name="Date 2" xfId="2524"/>
    <cellStyle name="Date Aligned" xfId="2525"/>
    <cellStyle name="Date dd-mmm" xfId="2526"/>
    <cellStyle name="Date dd-mmm-yy" xfId="2527"/>
    <cellStyle name="Date mmm-yy" xfId="2528"/>
    <cellStyle name="Date Short" xfId="2529"/>
    <cellStyle name="Date_- BP CONSO 2002-2012" xfId="2530"/>
    <cellStyle name="Date2" xfId="2531"/>
    <cellStyle name="Dati" xfId="2532"/>
    <cellStyle name="Dati Dec" xfId="2533"/>
    <cellStyle name="DAVE" xfId="2534"/>
    <cellStyle name="Décalé" xfId="2535"/>
    <cellStyle name="Decimal 0,0" xfId="2536"/>
    <cellStyle name="Decimal 0,00" xfId="2537"/>
    <cellStyle name="Decimal 0,0000" xfId="2538"/>
    <cellStyle name="Decimal_0dp" xfId="2539"/>
    <cellStyle name="default" xfId="2540"/>
    <cellStyle name="DELTA" xfId="2541"/>
    <cellStyle name="Deviant" xfId="2542"/>
    <cellStyle name="Dezimal [+line]" xfId="2543"/>
    <cellStyle name="Dezimal [0]_Acquisition stats" xfId="2544"/>
    <cellStyle name="Dezimal_Acquisition stats" xfId="2545"/>
    <cellStyle name="DimDown" xfId="2546"/>
    <cellStyle name="DimDownBold" xfId="2547"/>
    <cellStyle name="DimDownTitle" xfId="2548"/>
    <cellStyle name="Dollar" xfId="2549"/>
    <cellStyle name="Dollar (zero dec)" xfId="2550"/>
    <cellStyle name="DollarAmount" xfId="2551"/>
    <cellStyle name="DollarAmountBorder" xfId="2552"/>
    <cellStyle name="DollarAmountBorderMed" xfId="2553"/>
    <cellStyle name="DollarAmountBtmBorderMed" xfId="2554"/>
    <cellStyle name="DollarAmtTopBorder" xfId="2555"/>
    <cellStyle name="Dotted" xfId="2556"/>
    <cellStyle name="Dotted Line" xfId="2557"/>
    <cellStyle name="Double" xfId="2558"/>
    <cellStyle name="Double Accounting" xfId="2559"/>
    <cellStyle name="DropDown" xfId="2560"/>
    <cellStyle name="Eingabe" xfId="2561"/>
    <cellStyle name="Eingabe 10" xfId="2562"/>
    <cellStyle name="Eingabe 11" xfId="2563"/>
    <cellStyle name="Eingabe 12" xfId="2564"/>
    <cellStyle name="Eingabe 2" xfId="2565"/>
    <cellStyle name="Eingabe 3" xfId="2566"/>
    <cellStyle name="Eingabe 4" xfId="2567"/>
    <cellStyle name="Eingabe 5" xfId="2568"/>
    <cellStyle name="Eingabe 6" xfId="2569"/>
    <cellStyle name="Eingabe 7" xfId="2570"/>
    <cellStyle name="Eingabe 8" xfId="2571"/>
    <cellStyle name="Eingabe 9" xfId="2572"/>
    <cellStyle name="Enter Currency (0)" xfId="2573"/>
    <cellStyle name="Enter Currency (0) 2" xfId="2574"/>
    <cellStyle name="Enter Currency (2)" xfId="2575"/>
    <cellStyle name="Enter Currency (2) 2" xfId="2576"/>
    <cellStyle name="Enter Units (0)" xfId="2577"/>
    <cellStyle name="Enter Units (0) 2" xfId="2578"/>
    <cellStyle name="Enter Units (1)" xfId="2579"/>
    <cellStyle name="Enter Units (1) 2" xfId="2580"/>
    <cellStyle name="Enter Units (2)" xfId="2581"/>
    <cellStyle name="Enter Units (2) 2" xfId="2582"/>
    <cellStyle name="Entered" xfId="2583"/>
    <cellStyle name="Entered 2" xfId="2584"/>
    <cellStyle name="Est - $" xfId="2585"/>
    <cellStyle name="Est - %" xfId="2586"/>
    <cellStyle name="Est 0,000.0" xfId="2587"/>
    <cellStyle name="Euro" xfId="2588"/>
    <cellStyle name="Euro 2" xfId="2589"/>
    <cellStyle name="Euro 3" xfId="2590"/>
    <cellStyle name="Euro 4" xfId="2591"/>
    <cellStyle name="Euro 5" xfId="2592"/>
    <cellStyle name="Euro 6" xfId="2593"/>
    <cellStyle name="Euro_Cashflow Q1 CY09" xfId="2594"/>
    <cellStyle name="Explanatory Text 10" xfId="2595"/>
    <cellStyle name="Explanatory Text 10 2" xfId="2596"/>
    <cellStyle name="Explanatory Text 10 3" xfId="2597"/>
    <cellStyle name="Explanatory Text 11" xfId="2598"/>
    <cellStyle name="Explanatory Text 11 2" xfId="2599"/>
    <cellStyle name="Explanatory Text 11 3" xfId="2600"/>
    <cellStyle name="Explanatory Text 12" xfId="2601"/>
    <cellStyle name="Explanatory Text 12 2" xfId="2602"/>
    <cellStyle name="Explanatory Text 12 3" xfId="2603"/>
    <cellStyle name="Explanatory Text 13" xfId="2604"/>
    <cellStyle name="Explanatory Text 13 2" xfId="2605"/>
    <cellStyle name="Explanatory Text 13 3" xfId="2606"/>
    <cellStyle name="Explanatory Text 14" xfId="2607"/>
    <cellStyle name="Explanatory Text 14 2" xfId="2608"/>
    <cellStyle name="Explanatory Text 14 3" xfId="2609"/>
    <cellStyle name="Explanatory Text 15" xfId="2610"/>
    <cellStyle name="Explanatory Text 15 2" xfId="2611"/>
    <cellStyle name="Explanatory Text 15 3" xfId="2612"/>
    <cellStyle name="Explanatory Text 16" xfId="2613"/>
    <cellStyle name="Explanatory Text 17" xfId="2614"/>
    <cellStyle name="Explanatory Text 18" xfId="2615"/>
    <cellStyle name="Explanatory Text 19" xfId="4341"/>
    <cellStyle name="Explanatory Text 2" xfId="2616"/>
    <cellStyle name="Explanatory Text 2 10" xfId="2617"/>
    <cellStyle name="Explanatory Text 2 11" xfId="2618"/>
    <cellStyle name="Explanatory Text 2 12" xfId="2619"/>
    <cellStyle name="Explanatory Text 2 13" xfId="2620"/>
    <cellStyle name="Explanatory Text 2 14" xfId="2621"/>
    <cellStyle name="Explanatory Text 2 15" xfId="2622"/>
    <cellStyle name="Explanatory Text 2 2" xfId="2623"/>
    <cellStyle name="Explanatory Text 2 3" xfId="2624"/>
    <cellStyle name="Explanatory Text 2 4" xfId="2625"/>
    <cellStyle name="Explanatory Text 2 5" xfId="2626"/>
    <cellStyle name="Explanatory Text 2 6" xfId="2627"/>
    <cellStyle name="Explanatory Text 2 7" xfId="2628"/>
    <cellStyle name="Explanatory Text 2 8" xfId="2629"/>
    <cellStyle name="Explanatory Text 2 9" xfId="2630"/>
    <cellStyle name="Explanatory Text 3" xfId="2631"/>
    <cellStyle name="Explanatory Text 3 2" xfId="2632"/>
    <cellStyle name="Explanatory Text 3 3" xfId="2633"/>
    <cellStyle name="Explanatory Text 3 4" xfId="2634"/>
    <cellStyle name="Explanatory Text 3 5" xfId="2635"/>
    <cellStyle name="Explanatory Text 3 6" xfId="2636"/>
    <cellStyle name="Explanatory Text 3 7" xfId="2637"/>
    <cellStyle name="Explanatory Text 3 8" xfId="2638"/>
    <cellStyle name="Explanatory Text 4" xfId="2639"/>
    <cellStyle name="Explanatory Text 4 2" xfId="2640"/>
    <cellStyle name="Explanatory Text 5" xfId="2641"/>
    <cellStyle name="Explanatory Text 5 2" xfId="2642"/>
    <cellStyle name="Explanatory Text 6" xfId="2643"/>
    <cellStyle name="Explanatory Text 6 2" xfId="2644"/>
    <cellStyle name="Explanatory Text 7" xfId="2645"/>
    <cellStyle name="Explanatory Text 8" xfId="2646"/>
    <cellStyle name="Explanatory Text 9" xfId="2647"/>
    <cellStyle name="Explanatory Text 9 2" xfId="2648"/>
    <cellStyle name="Explanatory Text 9 3" xfId="2649"/>
    <cellStyle name="Explanatory Text 9 4" xfId="2650"/>
    <cellStyle name="Ezres [0]_Cable" xfId="2651"/>
    <cellStyle name="Ezres_Cable" xfId="2652"/>
    <cellStyle name="F H.T." xfId="2653"/>
    <cellStyle name="FF_EURO" xfId="2654"/>
    <cellStyle name="Fixed" xfId="2655"/>
    <cellStyle name="Fixed [0]" xfId="2656"/>
    <cellStyle name="Fixed 2" xfId="2657"/>
    <cellStyle name="Fixed_Cashflow Q1 CY09" xfId="2658"/>
    <cellStyle name="Footnote" xfId="2659"/>
    <cellStyle name="Forecast Cell Column Heading" xfId="2660"/>
    <cellStyle name="format - Style1" xfId="2661"/>
    <cellStyle name="Formula" xfId="2662"/>
    <cellStyle name="Geneva 9" xfId="2663"/>
    <cellStyle name="Giga" xfId="2664"/>
    <cellStyle name="Good 10" xfId="2665"/>
    <cellStyle name="Good 10 2" xfId="2666"/>
    <cellStyle name="Good 10 3" xfId="2667"/>
    <cellStyle name="Good 11" xfId="2668"/>
    <cellStyle name="Good 11 2" xfId="2669"/>
    <cellStyle name="Good 11 3" xfId="2670"/>
    <cellStyle name="Good 12" xfId="2671"/>
    <cellStyle name="Good 12 2" xfId="2672"/>
    <cellStyle name="Good 12 3" xfId="2673"/>
    <cellStyle name="Good 13" xfId="2674"/>
    <cellStyle name="Good 13 2" xfId="2675"/>
    <cellStyle name="Good 13 3" xfId="2676"/>
    <cellStyle name="Good 14" xfId="2677"/>
    <cellStyle name="Good 14 2" xfId="2678"/>
    <cellStyle name="Good 14 3" xfId="2679"/>
    <cellStyle name="Good 15" xfId="2680"/>
    <cellStyle name="Good 15 2" xfId="2681"/>
    <cellStyle name="Good 15 3" xfId="2682"/>
    <cellStyle name="Good 16" xfId="2683"/>
    <cellStyle name="Good 17" xfId="2684"/>
    <cellStyle name="Good 18" xfId="2685"/>
    <cellStyle name="Good 19" xfId="2686"/>
    <cellStyle name="Good 2" xfId="2687"/>
    <cellStyle name="Good 2 10" xfId="2688"/>
    <cellStyle name="Good 2 11" xfId="2689"/>
    <cellStyle name="Good 2 12" xfId="2690"/>
    <cellStyle name="Good 2 13" xfId="2691"/>
    <cellStyle name="Good 2 14" xfId="2692"/>
    <cellStyle name="Good 2 15" xfId="2693"/>
    <cellStyle name="Good 2 2" xfId="2694"/>
    <cellStyle name="Good 2 3" xfId="2695"/>
    <cellStyle name="Good 2 4" xfId="2696"/>
    <cellStyle name="Good 2 5" xfId="2697"/>
    <cellStyle name="Good 2 6" xfId="2698"/>
    <cellStyle name="Good 2 7" xfId="2699"/>
    <cellStyle name="Good 2 8" xfId="2700"/>
    <cellStyle name="Good 2 9" xfId="2701"/>
    <cellStyle name="Good 20" xfId="4342"/>
    <cellStyle name="Good 3" xfId="2702"/>
    <cellStyle name="Good 3 2" xfId="2703"/>
    <cellStyle name="Good 3 3" xfId="2704"/>
    <cellStyle name="Good 3 4" xfId="2705"/>
    <cellStyle name="Good 3 5" xfId="2706"/>
    <cellStyle name="Good 3 6" xfId="2707"/>
    <cellStyle name="Good 3 7" xfId="2708"/>
    <cellStyle name="Good 3 8" xfId="2709"/>
    <cellStyle name="Good 4" xfId="2710"/>
    <cellStyle name="Good 4 2" xfId="2711"/>
    <cellStyle name="Good 5" xfId="2712"/>
    <cellStyle name="Good 5 2" xfId="2713"/>
    <cellStyle name="Good 6" xfId="2714"/>
    <cellStyle name="Good 6 2" xfId="2715"/>
    <cellStyle name="Good 7" xfId="2716"/>
    <cellStyle name="Good 8" xfId="2717"/>
    <cellStyle name="Good 9" xfId="2718"/>
    <cellStyle name="Good 9 2" xfId="2719"/>
    <cellStyle name="Good 9 3" xfId="2720"/>
    <cellStyle name="Good 9 4" xfId="2721"/>
    <cellStyle name="Grey" xfId="2722"/>
    <cellStyle name="Grün_Ausgabe" xfId="2723"/>
    <cellStyle name="Hard Percent" xfId="2724"/>
    <cellStyle name="HEADER" xfId="2725"/>
    <cellStyle name="Header 2" xfId="2726"/>
    <cellStyle name="Header Total" xfId="2727"/>
    <cellStyle name="header_Balance Sheet July 9 IFRS Sept 18" xfId="2728"/>
    <cellStyle name="Header1" xfId="2729"/>
    <cellStyle name="Header2" xfId="2730"/>
    <cellStyle name="Header3" xfId="2731"/>
    <cellStyle name="Header4" xfId="2732"/>
    <cellStyle name="Header4 10" xfId="2733"/>
    <cellStyle name="Header4 11" xfId="2734"/>
    <cellStyle name="Header4 12" xfId="2735"/>
    <cellStyle name="Header4 2" xfId="2736"/>
    <cellStyle name="Header4 3" xfId="2737"/>
    <cellStyle name="Header4 4" xfId="2738"/>
    <cellStyle name="Header4 5" xfId="2739"/>
    <cellStyle name="Header4 6" xfId="2740"/>
    <cellStyle name="Header4 7" xfId="2741"/>
    <cellStyle name="Header4 8" xfId="2742"/>
    <cellStyle name="Header4 9" xfId="2743"/>
    <cellStyle name="Heading" xfId="2744"/>
    <cellStyle name="Heading 1 10" xfId="2745"/>
    <cellStyle name="Heading 1 10 2" xfId="2746"/>
    <cellStyle name="Heading 1 10 3" xfId="2747"/>
    <cellStyle name="Heading 1 10 4" xfId="2748"/>
    <cellStyle name="Heading 1 11" xfId="2749"/>
    <cellStyle name="Heading 1 11 2" xfId="2750"/>
    <cellStyle name="Heading 1 11 3" xfId="2751"/>
    <cellStyle name="Heading 1 11 4" xfId="2752"/>
    <cellStyle name="Heading 1 12" xfId="2753"/>
    <cellStyle name="Heading 1 12 2" xfId="2754"/>
    <cellStyle name="Heading 1 12 3" xfId="2755"/>
    <cellStyle name="Heading 1 12 4" xfId="2756"/>
    <cellStyle name="Heading 1 13" xfId="2757"/>
    <cellStyle name="Heading 1 13 2" xfId="2758"/>
    <cellStyle name="Heading 1 13 3" xfId="2759"/>
    <cellStyle name="Heading 1 13 4" xfId="2760"/>
    <cellStyle name="Heading 1 14" xfId="2761"/>
    <cellStyle name="Heading 1 14 2" xfId="2762"/>
    <cellStyle name="Heading 1 14 3" xfId="2763"/>
    <cellStyle name="Heading 1 14 4" xfId="2764"/>
    <cellStyle name="Heading 1 15" xfId="2765"/>
    <cellStyle name="Heading 1 15 2" xfId="2766"/>
    <cellStyle name="Heading 1 15 3" xfId="2767"/>
    <cellStyle name="Heading 1 15 4" xfId="2768"/>
    <cellStyle name="Heading 1 16" xfId="2769"/>
    <cellStyle name="Heading 1 17" xfId="2770"/>
    <cellStyle name="Heading 1 18" xfId="2771"/>
    <cellStyle name="Heading 1 19" xfId="4343"/>
    <cellStyle name="Heading 1 2" xfId="2772"/>
    <cellStyle name="Heading 1 2 10" xfId="2773"/>
    <cellStyle name="Heading 1 2 10 2" xfId="2774"/>
    <cellStyle name="Heading 1 2 11" xfId="2775"/>
    <cellStyle name="Heading 1 2 12" xfId="2776"/>
    <cellStyle name="Heading 1 2 13" xfId="2777"/>
    <cellStyle name="Heading 1 2 14" xfId="2778"/>
    <cellStyle name="Heading 1 2 15" xfId="2779"/>
    <cellStyle name="Heading 1 2 2" xfId="2780"/>
    <cellStyle name="Heading 1 2 3" xfId="2781"/>
    <cellStyle name="Heading 1 2 4" xfId="2782"/>
    <cellStyle name="Heading 1 2 5" xfId="2783"/>
    <cellStyle name="Heading 1 2 6" xfId="2784"/>
    <cellStyle name="Heading 1 2 7" xfId="2785"/>
    <cellStyle name="Heading 1 2 8" xfId="2786"/>
    <cellStyle name="Heading 1 2 9" xfId="2787"/>
    <cellStyle name="Heading 1 3" xfId="2788"/>
    <cellStyle name="Heading 1 3 2" xfId="2789"/>
    <cellStyle name="Heading 1 3 2 2" xfId="2790"/>
    <cellStyle name="Heading 1 3 2 3" xfId="2791"/>
    <cellStyle name="Heading 1 3 3" xfId="2792"/>
    <cellStyle name="Heading 1 3 4" xfId="2793"/>
    <cellStyle name="Heading 1 3 5" xfId="2794"/>
    <cellStyle name="Heading 1 3 5 2" xfId="2795"/>
    <cellStyle name="Heading 1 3 6" xfId="2796"/>
    <cellStyle name="Heading 1 3 7" xfId="2797"/>
    <cellStyle name="Heading 1 3 8" xfId="2798"/>
    <cellStyle name="Heading 1 3 9" xfId="2799"/>
    <cellStyle name="Heading 1 4" xfId="2800"/>
    <cellStyle name="Heading 1 4 2" xfId="2801"/>
    <cellStyle name="Heading 1 4 3" xfId="2802"/>
    <cellStyle name="Heading 1 5" xfId="2803"/>
    <cellStyle name="Heading 1 5 2" xfId="2804"/>
    <cellStyle name="Heading 1 5 3" xfId="2805"/>
    <cellStyle name="Heading 1 6" xfId="2806"/>
    <cellStyle name="Heading 1 6 2" xfId="2807"/>
    <cellStyle name="Heading 1 6 3" xfId="2808"/>
    <cellStyle name="Heading 1 7" xfId="2809"/>
    <cellStyle name="Heading 1 7 2" xfId="2810"/>
    <cellStyle name="Heading 1 7 3" xfId="2811"/>
    <cellStyle name="Heading 1 8" xfId="2812"/>
    <cellStyle name="Heading 1 8 2" xfId="2813"/>
    <cellStyle name="Heading 1 8 3" xfId="2814"/>
    <cellStyle name="Heading 1 9" xfId="2815"/>
    <cellStyle name="Heading 1 9 2" xfId="2816"/>
    <cellStyle name="Heading 1 9 2 2" xfId="2817"/>
    <cellStyle name="Heading 1 9 3" xfId="2818"/>
    <cellStyle name="Heading 1 9 4" xfId="2819"/>
    <cellStyle name="Heading 1 9 5" xfId="2820"/>
    <cellStyle name="Heading 10" xfId="2821"/>
    <cellStyle name="Heading 11" xfId="2822"/>
    <cellStyle name="Heading 12" xfId="2823"/>
    <cellStyle name="Heading 13" xfId="2824"/>
    <cellStyle name="Heading 14" xfId="2825"/>
    <cellStyle name="Heading 15" xfId="2826"/>
    <cellStyle name="Heading 2 10" xfId="2827"/>
    <cellStyle name="Heading 2 10 2" xfId="2828"/>
    <cellStyle name="Heading 2 10 3" xfId="2829"/>
    <cellStyle name="Heading 2 10 4" xfId="2830"/>
    <cellStyle name="Heading 2 11" xfId="2831"/>
    <cellStyle name="Heading 2 11 2" xfId="2832"/>
    <cellStyle name="Heading 2 11 3" xfId="2833"/>
    <cellStyle name="Heading 2 11 4" xfId="2834"/>
    <cellStyle name="Heading 2 12" xfId="2835"/>
    <cellStyle name="Heading 2 12 2" xfId="2836"/>
    <cellStyle name="Heading 2 12 3" xfId="2837"/>
    <cellStyle name="Heading 2 12 4" xfId="2838"/>
    <cellStyle name="Heading 2 13" xfId="2839"/>
    <cellStyle name="Heading 2 13 2" xfId="2840"/>
    <cellStyle name="Heading 2 13 3" xfId="2841"/>
    <cellStyle name="Heading 2 13 4" xfId="2842"/>
    <cellStyle name="Heading 2 14" xfId="2843"/>
    <cellStyle name="Heading 2 14 2" xfId="2844"/>
    <cellStyle name="Heading 2 14 3" xfId="2845"/>
    <cellStyle name="Heading 2 14 4" xfId="2846"/>
    <cellStyle name="Heading 2 15" xfId="2847"/>
    <cellStyle name="Heading 2 15 2" xfId="2848"/>
    <cellStyle name="Heading 2 15 3" xfId="2849"/>
    <cellStyle name="Heading 2 15 4" xfId="2850"/>
    <cellStyle name="Heading 2 16" xfId="2851"/>
    <cellStyle name="Heading 2 17" xfId="2852"/>
    <cellStyle name="Heading 2 18" xfId="2853"/>
    <cellStyle name="Heading 2 19" xfId="4344"/>
    <cellStyle name="Heading 2 2" xfId="2854"/>
    <cellStyle name="Heading 2 2 10" xfId="2855"/>
    <cellStyle name="Heading 2 2 10 2" xfId="2856"/>
    <cellStyle name="Heading 2 2 11" xfId="2857"/>
    <cellStyle name="Heading 2 2 12" xfId="2858"/>
    <cellStyle name="Heading 2 2 13" xfId="2859"/>
    <cellStyle name="Heading 2 2 14" xfId="2860"/>
    <cellStyle name="Heading 2 2 15" xfId="2861"/>
    <cellStyle name="Heading 2 2 2" xfId="2862"/>
    <cellStyle name="Heading 2 2 3" xfId="2863"/>
    <cellStyle name="Heading 2 2 4" xfId="2864"/>
    <cellStyle name="Heading 2 2 5" xfId="2865"/>
    <cellStyle name="Heading 2 2 6" xfId="2866"/>
    <cellStyle name="Heading 2 2 7" xfId="2867"/>
    <cellStyle name="Heading 2 2 8" xfId="2868"/>
    <cellStyle name="Heading 2 2 9" xfId="2869"/>
    <cellStyle name="Heading 2 3" xfId="2870"/>
    <cellStyle name="Heading 2 3 2" xfId="2871"/>
    <cellStyle name="Heading 2 3 2 2" xfId="2872"/>
    <cellStyle name="Heading 2 3 2 3" xfId="2873"/>
    <cellStyle name="Heading 2 3 3" xfId="2874"/>
    <cellStyle name="Heading 2 3 4" xfId="2875"/>
    <cellStyle name="Heading 2 3 5" xfId="2876"/>
    <cellStyle name="Heading 2 3 5 2" xfId="2877"/>
    <cellStyle name="Heading 2 3 6" xfId="2878"/>
    <cellStyle name="Heading 2 3 7" xfId="2879"/>
    <cellStyle name="Heading 2 3 8" xfId="2880"/>
    <cellStyle name="Heading 2 3 9" xfId="2881"/>
    <cellStyle name="Heading 2 4" xfId="2882"/>
    <cellStyle name="Heading 2 4 2" xfId="2883"/>
    <cellStyle name="Heading 2 4 3" xfId="2884"/>
    <cellStyle name="Heading 2 5" xfId="2885"/>
    <cellStyle name="Heading 2 5 2" xfId="2886"/>
    <cellStyle name="Heading 2 5 3" xfId="2887"/>
    <cellStyle name="Heading 2 6" xfId="2888"/>
    <cellStyle name="Heading 2 6 2" xfId="2889"/>
    <cellStyle name="Heading 2 6 3" xfId="2890"/>
    <cellStyle name="Heading 2 7" xfId="2891"/>
    <cellStyle name="Heading 2 7 2" xfId="2892"/>
    <cellStyle name="Heading 2 7 3" xfId="2893"/>
    <cellStyle name="Heading 2 8" xfId="2894"/>
    <cellStyle name="Heading 2 8 2" xfId="2895"/>
    <cellStyle name="Heading 2 8 3" xfId="2896"/>
    <cellStyle name="Heading 2 9" xfId="2897"/>
    <cellStyle name="Heading 2 9 2" xfId="2898"/>
    <cellStyle name="Heading 2 9 2 2" xfId="2899"/>
    <cellStyle name="Heading 2 9 3" xfId="2900"/>
    <cellStyle name="Heading 2 9 4" xfId="2901"/>
    <cellStyle name="Heading 2 9 5" xfId="2902"/>
    <cellStyle name="Heading 3 10" xfId="2903"/>
    <cellStyle name="Heading 3 10 2" xfId="2904"/>
    <cellStyle name="Heading 3 10 3" xfId="2905"/>
    <cellStyle name="Heading 3 10 4" xfId="2906"/>
    <cellStyle name="Heading 3 11" xfId="2907"/>
    <cellStyle name="Heading 3 11 2" xfId="2908"/>
    <cellStyle name="Heading 3 11 3" xfId="2909"/>
    <cellStyle name="Heading 3 11 4" xfId="2910"/>
    <cellStyle name="Heading 3 12" xfId="2911"/>
    <cellStyle name="Heading 3 12 2" xfId="2912"/>
    <cellStyle name="Heading 3 12 3" xfId="2913"/>
    <cellStyle name="Heading 3 12 4" xfId="2914"/>
    <cellStyle name="Heading 3 13" xfId="2915"/>
    <cellStyle name="Heading 3 13 2" xfId="2916"/>
    <cellStyle name="Heading 3 13 3" xfId="2917"/>
    <cellStyle name="Heading 3 13 4" xfId="2918"/>
    <cellStyle name="Heading 3 14" xfId="2919"/>
    <cellStyle name="Heading 3 14 2" xfId="2920"/>
    <cellStyle name="Heading 3 14 3" xfId="2921"/>
    <cellStyle name="Heading 3 14 4" xfId="2922"/>
    <cellStyle name="Heading 3 15" xfId="2923"/>
    <cellStyle name="Heading 3 15 2" xfId="2924"/>
    <cellStyle name="Heading 3 15 3" xfId="2925"/>
    <cellStyle name="Heading 3 15 4" xfId="2926"/>
    <cellStyle name="Heading 3 16" xfId="2927"/>
    <cellStyle name="Heading 3 17" xfId="2928"/>
    <cellStyle name="Heading 3 18" xfId="2929"/>
    <cellStyle name="Heading 3 19" xfId="4345"/>
    <cellStyle name="Heading 3 2" xfId="2930"/>
    <cellStyle name="Heading 3 2 10" xfId="2931"/>
    <cellStyle name="Heading 3 2 10 2" xfId="2932"/>
    <cellStyle name="Heading 3 2 11" xfId="2933"/>
    <cellStyle name="Heading 3 2 12" xfId="2934"/>
    <cellStyle name="Heading 3 2 13" xfId="2935"/>
    <cellStyle name="Heading 3 2 14" xfId="2936"/>
    <cellStyle name="Heading 3 2 15" xfId="2937"/>
    <cellStyle name="Heading 3 2 2" xfId="2938"/>
    <cellStyle name="Heading 3 2 3" xfId="2939"/>
    <cellStyle name="Heading 3 2 4" xfId="2940"/>
    <cellStyle name="Heading 3 2 5" xfId="2941"/>
    <cellStyle name="Heading 3 2 6" xfId="2942"/>
    <cellStyle name="Heading 3 2 7" xfId="2943"/>
    <cellStyle name="Heading 3 2 8" xfId="2944"/>
    <cellStyle name="Heading 3 2 9" xfId="2945"/>
    <cellStyle name="Heading 3 3" xfId="2946"/>
    <cellStyle name="Heading 3 3 2" xfId="2947"/>
    <cellStyle name="Heading 3 3 2 2" xfId="2948"/>
    <cellStyle name="Heading 3 3 2 3" xfId="2949"/>
    <cellStyle name="Heading 3 3 3" xfId="2950"/>
    <cellStyle name="Heading 3 3 4" xfId="2951"/>
    <cellStyle name="Heading 3 3 5" xfId="2952"/>
    <cellStyle name="Heading 3 3 5 2" xfId="2953"/>
    <cellStyle name="Heading 3 3 6" xfId="2954"/>
    <cellStyle name="Heading 3 3 7" xfId="2955"/>
    <cellStyle name="Heading 3 3 8" xfId="2956"/>
    <cellStyle name="Heading 3 3 9" xfId="2957"/>
    <cellStyle name="Heading 3 4" xfId="2958"/>
    <cellStyle name="Heading 3 4 2" xfId="2959"/>
    <cellStyle name="Heading 3 4 3" xfId="2960"/>
    <cellStyle name="Heading 3 5" xfId="2961"/>
    <cellStyle name="Heading 3 5 2" xfId="2962"/>
    <cellStyle name="Heading 3 5 3" xfId="2963"/>
    <cellStyle name="Heading 3 6" xfId="2964"/>
    <cellStyle name="Heading 3 6 2" xfId="2965"/>
    <cellStyle name="Heading 3 6 3" xfId="2966"/>
    <cellStyle name="Heading 3 7" xfId="2967"/>
    <cellStyle name="Heading 3 7 2" xfId="2968"/>
    <cellStyle name="Heading 3 7 3" xfId="2969"/>
    <cellStyle name="Heading 3 8" xfId="2970"/>
    <cellStyle name="Heading 3 8 2" xfId="2971"/>
    <cellStyle name="Heading 3 8 3" xfId="2972"/>
    <cellStyle name="Heading 3 9" xfId="2973"/>
    <cellStyle name="Heading 3 9 2" xfId="2974"/>
    <cellStyle name="Heading 3 9 2 2" xfId="2975"/>
    <cellStyle name="Heading 3 9 3" xfId="2976"/>
    <cellStyle name="Heading 3 9 4" xfId="2977"/>
    <cellStyle name="Heading 3 9 5" xfId="2978"/>
    <cellStyle name="Heading 4 10" xfId="2979"/>
    <cellStyle name="Heading 4 10 2" xfId="2980"/>
    <cellStyle name="Heading 4 10 3" xfId="2981"/>
    <cellStyle name="Heading 4 10 4" xfId="2982"/>
    <cellStyle name="Heading 4 11" xfId="2983"/>
    <cellStyle name="Heading 4 11 2" xfId="2984"/>
    <cellStyle name="Heading 4 11 3" xfId="2985"/>
    <cellStyle name="Heading 4 11 4" xfId="2986"/>
    <cellStyle name="Heading 4 12" xfId="2987"/>
    <cellStyle name="Heading 4 12 2" xfId="2988"/>
    <cellStyle name="Heading 4 12 3" xfId="2989"/>
    <cellStyle name="Heading 4 12 4" xfId="2990"/>
    <cellStyle name="Heading 4 13" xfId="2991"/>
    <cellStyle name="Heading 4 13 2" xfId="2992"/>
    <cellStyle name="Heading 4 13 3" xfId="2993"/>
    <cellStyle name="Heading 4 13 4" xfId="2994"/>
    <cellStyle name="Heading 4 14" xfId="2995"/>
    <cellStyle name="Heading 4 14 2" xfId="2996"/>
    <cellStyle name="Heading 4 14 3" xfId="2997"/>
    <cellStyle name="Heading 4 14 4" xfId="2998"/>
    <cellStyle name="Heading 4 15" xfId="2999"/>
    <cellStyle name="Heading 4 15 2" xfId="3000"/>
    <cellStyle name="Heading 4 15 3" xfId="3001"/>
    <cellStyle name="Heading 4 15 4" xfId="3002"/>
    <cellStyle name="Heading 4 16" xfId="3003"/>
    <cellStyle name="Heading 4 17" xfId="3004"/>
    <cellStyle name="Heading 4 18" xfId="3005"/>
    <cellStyle name="Heading 4 19" xfId="4346"/>
    <cellStyle name="Heading 4 2" xfId="3006"/>
    <cellStyle name="Heading 4 2 10" xfId="3007"/>
    <cellStyle name="Heading 4 2 10 2" xfId="3008"/>
    <cellStyle name="Heading 4 2 11" xfId="3009"/>
    <cellStyle name="Heading 4 2 12" xfId="3010"/>
    <cellStyle name="Heading 4 2 13" xfId="3011"/>
    <cellStyle name="Heading 4 2 14" xfId="3012"/>
    <cellStyle name="Heading 4 2 15" xfId="3013"/>
    <cellStyle name="Heading 4 2 2" xfId="3014"/>
    <cellStyle name="Heading 4 2 3" xfId="3015"/>
    <cellStyle name="Heading 4 2 4" xfId="3016"/>
    <cellStyle name="Heading 4 2 5" xfId="3017"/>
    <cellStyle name="Heading 4 2 6" xfId="3018"/>
    <cellStyle name="Heading 4 2 7" xfId="3019"/>
    <cellStyle name="Heading 4 2 8" xfId="3020"/>
    <cellStyle name="Heading 4 2 9" xfId="3021"/>
    <cellStyle name="Heading 4 3" xfId="3022"/>
    <cellStyle name="Heading 4 3 2" xfId="3023"/>
    <cellStyle name="Heading 4 3 2 2" xfId="3024"/>
    <cellStyle name="Heading 4 3 2 3" xfId="3025"/>
    <cellStyle name="Heading 4 3 3" xfId="3026"/>
    <cellStyle name="Heading 4 3 4" xfId="3027"/>
    <cellStyle name="Heading 4 3 5" xfId="3028"/>
    <cellStyle name="Heading 4 3 5 2" xfId="3029"/>
    <cellStyle name="Heading 4 3 6" xfId="3030"/>
    <cellStyle name="Heading 4 3 7" xfId="3031"/>
    <cellStyle name="Heading 4 3 8" xfId="3032"/>
    <cellStyle name="Heading 4 3 9" xfId="3033"/>
    <cellStyle name="Heading 4 4" xfId="3034"/>
    <cellStyle name="Heading 4 4 2" xfId="3035"/>
    <cellStyle name="Heading 4 4 3" xfId="3036"/>
    <cellStyle name="Heading 4 5" xfId="3037"/>
    <cellStyle name="Heading 4 5 2" xfId="3038"/>
    <cellStyle name="Heading 4 5 3" xfId="3039"/>
    <cellStyle name="Heading 4 6" xfId="3040"/>
    <cellStyle name="Heading 4 6 2" xfId="3041"/>
    <cellStyle name="Heading 4 6 3" xfId="3042"/>
    <cellStyle name="Heading 4 7" xfId="3043"/>
    <cellStyle name="Heading 4 7 2" xfId="3044"/>
    <cellStyle name="Heading 4 7 3" xfId="3045"/>
    <cellStyle name="Heading 4 8" xfId="3046"/>
    <cellStyle name="Heading 4 8 2" xfId="3047"/>
    <cellStyle name="Heading 4 8 3" xfId="3048"/>
    <cellStyle name="Heading 4 9" xfId="3049"/>
    <cellStyle name="Heading 4 9 2" xfId="3050"/>
    <cellStyle name="Heading 4 9 2 2" xfId="3051"/>
    <cellStyle name="Heading 4 9 3" xfId="3052"/>
    <cellStyle name="Heading 4 9 4" xfId="3053"/>
    <cellStyle name="Heading 4 9 5" xfId="3054"/>
    <cellStyle name="Heading 5" xfId="3055"/>
    <cellStyle name="Heading 6" xfId="3056"/>
    <cellStyle name="Heading 7" xfId="3057"/>
    <cellStyle name="Heading 8" xfId="3058"/>
    <cellStyle name="Heading 9" xfId="3059"/>
    <cellStyle name="Heading I" xfId="3060"/>
    <cellStyle name="heading info" xfId="3061"/>
    <cellStyle name="Heading1" xfId="3062"/>
    <cellStyle name="Heading1 2" xfId="3063"/>
    <cellStyle name="Heading2" xfId="3064"/>
    <cellStyle name="Heading2 2" xfId="3065"/>
    <cellStyle name="HEADINGS" xfId="3066"/>
    <cellStyle name="HEADINGS 2" xfId="3067"/>
    <cellStyle name="HEADINGSTOP" xfId="3068"/>
    <cellStyle name="HEADINGSTOP 2" xfId="3069"/>
    <cellStyle name="Headline1" xfId="3070"/>
    <cellStyle name="Headline2" xfId="3071"/>
    <cellStyle name="Headline3" xfId="3072"/>
    <cellStyle name="Hidden Decimal 0,00" xfId="3073"/>
    <cellStyle name="HIGHLIGHT" xfId="3074"/>
    <cellStyle name="Id" xfId="3075"/>
    <cellStyle name="indicatif_nv" xfId="3076"/>
    <cellStyle name="initial" xfId="3077"/>
    <cellStyle name="Input [%]" xfId="3078"/>
    <cellStyle name="Input [%0]" xfId="3079"/>
    <cellStyle name="Input [%00]" xfId="3080"/>
    <cellStyle name="Input [0]" xfId="3081"/>
    <cellStyle name="Input [00]" xfId="3082"/>
    <cellStyle name="Input [yellow]" xfId="3083"/>
    <cellStyle name="Input 10" xfId="3084"/>
    <cellStyle name="Input 10 2" xfId="3085"/>
    <cellStyle name="Input 10 3" xfId="3086"/>
    <cellStyle name="Input 10 4" xfId="3087"/>
    <cellStyle name="Input 11" xfId="3088"/>
    <cellStyle name="Input 11 2" xfId="3089"/>
    <cellStyle name="Input 11 3" xfId="3090"/>
    <cellStyle name="Input 11 4" xfId="3091"/>
    <cellStyle name="Input 12" xfId="3092"/>
    <cellStyle name="Input 12 2" xfId="3093"/>
    <cellStyle name="Input 12 3" xfId="3094"/>
    <cellStyle name="Input 12 4" xfId="3095"/>
    <cellStyle name="Input 13" xfId="3096"/>
    <cellStyle name="Input 13 2" xfId="3097"/>
    <cellStyle name="Input 13 3" xfId="3098"/>
    <cellStyle name="Input 13 4" xfId="3099"/>
    <cellStyle name="Input 14" xfId="3100"/>
    <cellStyle name="Input 14 2" xfId="3101"/>
    <cellStyle name="Input 14 3" xfId="3102"/>
    <cellStyle name="Input 14 4" xfId="3103"/>
    <cellStyle name="Input 15" xfId="3104"/>
    <cellStyle name="Input 15 2" xfId="3105"/>
    <cellStyle name="Input 15 3" xfId="3106"/>
    <cellStyle name="Input 15 4" xfId="3107"/>
    <cellStyle name="Input 16" xfId="3108"/>
    <cellStyle name="Input 17" xfId="3109"/>
    <cellStyle name="Input 18" xfId="3110"/>
    <cellStyle name="Input 19" xfId="3111"/>
    <cellStyle name="Input 2" xfId="3112"/>
    <cellStyle name="Input 2 10" xfId="3113"/>
    <cellStyle name="Input 2 10 2" xfId="3114"/>
    <cellStyle name="Input 2 11" xfId="3115"/>
    <cellStyle name="Input 2 12" xfId="3116"/>
    <cellStyle name="Input 2 13" xfId="3117"/>
    <cellStyle name="Input 2 14" xfId="3118"/>
    <cellStyle name="Input 2 15" xfId="3119"/>
    <cellStyle name="Input 2 2" xfId="3120"/>
    <cellStyle name="Input 2 3" xfId="3121"/>
    <cellStyle name="Input 2 4" xfId="3122"/>
    <cellStyle name="Input 2 5" xfId="3123"/>
    <cellStyle name="Input 2 6" xfId="3124"/>
    <cellStyle name="Input 2 7" xfId="3125"/>
    <cellStyle name="Input 2 8" xfId="3126"/>
    <cellStyle name="Input 2 9" xfId="3127"/>
    <cellStyle name="Input 20" xfId="3128"/>
    <cellStyle name="Input 21" xfId="3129"/>
    <cellStyle name="Input 22" xfId="4347"/>
    <cellStyle name="Input 3" xfId="3130"/>
    <cellStyle name="Input 3 2" xfId="3131"/>
    <cellStyle name="Input 3 3" xfId="3132"/>
    <cellStyle name="Input 3 4" xfId="3133"/>
    <cellStyle name="Input 3 5" xfId="3134"/>
    <cellStyle name="Input 3 6" xfId="3135"/>
    <cellStyle name="Input 3 7" xfId="3136"/>
    <cellStyle name="Input 3 8" xfId="3137"/>
    <cellStyle name="Input 3 9" xfId="3138"/>
    <cellStyle name="Input 4" xfId="3139"/>
    <cellStyle name="Input 4 2" xfId="3140"/>
    <cellStyle name="Input 4 3" xfId="3141"/>
    <cellStyle name="Input 5" xfId="3142"/>
    <cellStyle name="Input 5 2" xfId="3143"/>
    <cellStyle name="Input 5 3" xfId="3144"/>
    <cellStyle name="Input 6" xfId="3145"/>
    <cellStyle name="Input 6 2" xfId="3146"/>
    <cellStyle name="Input 6 3" xfId="3147"/>
    <cellStyle name="Input 7" xfId="3148"/>
    <cellStyle name="Input 7 2" xfId="3149"/>
    <cellStyle name="Input 7 3" xfId="3150"/>
    <cellStyle name="Input 8" xfId="3151"/>
    <cellStyle name="Input 8 2" xfId="3152"/>
    <cellStyle name="Input 8 3" xfId="3153"/>
    <cellStyle name="Input 9" xfId="3154"/>
    <cellStyle name="Input 9 2" xfId="3155"/>
    <cellStyle name="Input 9 3" xfId="3156"/>
    <cellStyle name="Input 9 4" xfId="3157"/>
    <cellStyle name="Input 9 5" xfId="3158"/>
    <cellStyle name="Input Cells" xfId="3159"/>
    <cellStyle name="Input Col_Heading" xfId="3160"/>
    <cellStyle name="Input Currency" xfId="3161"/>
    <cellStyle name="Input Decimal 0" xfId="3162"/>
    <cellStyle name="Input Decimal 0 10" xfId="3163"/>
    <cellStyle name="Input Decimal 0 11" xfId="3164"/>
    <cellStyle name="Input Decimal 0 12" xfId="3165"/>
    <cellStyle name="Input Decimal 0 2" xfId="3166"/>
    <cellStyle name="Input Decimal 0 3" xfId="3167"/>
    <cellStyle name="Input Decimal 0 4" xfId="3168"/>
    <cellStyle name="Input Decimal 0 5" xfId="3169"/>
    <cellStyle name="Input Decimal 0 6" xfId="3170"/>
    <cellStyle name="Input Decimal 0 7" xfId="3171"/>
    <cellStyle name="Input Decimal 0 8" xfId="3172"/>
    <cellStyle name="Input Decimal 0 9" xfId="3173"/>
    <cellStyle name="Input Decimal 0,00" xfId="3174"/>
    <cellStyle name="Input Decimal 0,00 10" xfId="3175"/>
    <cellStyle name="Input Decimal 0,00 11" xfId="3176"/>
    <cellStyle name="Input Decimal 0,00 12" xfId="3177"/>
    <cellStyle name="Input Decimal 0,00 2" xfId="3178"/>
    <cellStyle name="Input Decimal 0,00 3" xfId="3179"/>
    <cellStyle name="Input Decimal 0,00 4" xfId="3180"/>
    <cellStyle name="Input Decimal 0,00 5" xfId="3181"/>
    <cellStyle name="Input Decimal 0,00 6" xfId="3182"/>
    <cellStyle name="Input Decimal 0,00 7" xfId="3183"/>
    <cellStyle name="Input Decimal 0,00 8" xfId="3184"/>
    <cellStyle name="Input Decimal 0,00 9" xfId="3185"/>
    <cellStyle name="Input Decimal 0_7.2.3. CAPEX" xfId="3186"/>
    <cellStyle name="Input Normal" xfId="3187"/>
    <cellStyle name="Input Percent" xfId="3188"/>
    <cellStyle name="Input Percent 0" xfId="3189"/>
    <cellStyle name="Input Percent 0 10" xfId="3190"/>
    <cellStyle name="Input Percent 0 11" xfId="3191"/>
    <cellStyle name="Input Percent 0 12" xfId="3192"/>
    <cellStyle name="Input Percent 0 2" xfId="3193"/>
    <cellStyle name="Input Percent 0 3" xfId="3194"/>
    <cellStyle name="Input Percent 0 4" xfId="3195"/>
    <cellStyle name="Input Percent 0 5" xfId="3196"/>
    <cellStyle name="Input Percent 0 6" xfId="3197"/>
    <cellStyle name="Input Percent 0 7" xfId="3198"/>
    <cellStyle name="Input Percent 0 8" xfId="3199"/>
    <cellStyle name="Input Percent 0 9" xfId="3200"/>
    <cellStyle name="Input Percent 0,00" xfId="3201"/>
    <cellStyle name="Input Percent 0,00 10" xfId="3202"/>
    <cellStyle name="Input Percent 0,00 11" xfId="3203"/>
    <cellStyle name="Input Percent 0,00 12" xfId="3204"/>
    <cellStyle name="Input Percent 0,00 2" xfId="3205"/>
    <cellStyle name="Input Percent 0,00 3" xfId="3206"/>
    <cellStyle name="Input Percent 0,00 4" xfId="3207"/>
    <cellStyle name="Input Percent 0,00 5" xfId="3208"/>
    <cellStyle name="Input Percent 0,00 6" xfId="3209"/>
    <cellStyle name="Input Percent 0,00 7" xfId="3210"/>
    <cellStyle name="Input Percent 0,00 8" xfId="3211"/>
    <cellStyle name="Input Percent 0,00 9" xfId="3212"/>
    <cellStyle name="Input Percent 0_7.2.3. CAPEX" xfId="3213"/>
    <cellStyle name="Input Titles" xfId="3214"/>
    <cellStyle name="InputDetailDate" xfId="3215"/>
    <cellStyle name="InputDetailInt" xfId="3216"/>
    <cellStyle name="InputDetailPct" xfId="3217"/>
    <cellStyle name="InputLockedInt" xfId="3218"/>
    <cellStyle name="InputLockedPct" xfId="3219"/>
    <cellStyle name="Invisible" xfId="3220"/>
    <cellStyle name="Kilo" xfId="3221"/>
    <cellStyle name="kopregel" xfId="3222"/>
    <cellStyle name="LB Style" xfId="3223"/>
    <cellStyle name="Lien hypertexte_PERSONAL" xfId="3224"/>
    <cellStyle name="LineItemPrompt" xfId="3225"/>
    <cellStyle name="LineItemValue" xfId="3226"/>
    <cellStyle name="Link Currency (0)" xfId="3227"/>
    <cellStyle name="Link Currency (0) 2" xfId="3228"/>
    <cellStyle name="Link Currency (2)" xfId="3229"/>
    <cellStyle name="Link Currency (2) 2" xfId="3230"/>
    <cellStyle name="Link Units (0)" xfId="3231"/>
    <cellStyle name="Link Units (0) 2" xfId="3232"/>
    <cellStyle name="Link Units (1)" xfId="3233"/>
    <cellStyle name="Link Units (1) 2" xfId="3234"/>
    <cellStyle name="Link Units (2)" xfId="3235"/>
    <cellStyle name="Link Units (2) 2" xfId="3236"/>
    <cellStyle name="Linked" xfId="3237"/>
    <cellStyle name="Linked Cell 10" xfId="3238"/>
    <cellStyle name="Linked Cell 10 2" xfId="3239"/>
    <cellStyle name="Linked Cell 10 3" xfId="3240"/>
    <cellStyle name="Linked Cell 11" xfId="3241"/>
    <cellStyle name="Linked Cell 11 2" xfId="3242"/>
    <cellStyle name="Linked Cell 11 3" xfId="3243"/>
    <cellStyle name="Linked Cell 12" xfId="3244"/>
    <cellStyle name="Linked Cell 12 2" xfId="3245"/>
    <cellStyle name="Linked Cell 12 3" xfId="3246"/>
    <cellStyle name="Linked Cell 13" xfId="3247"/>
    <cellStyle name="Linked Cell 13 2" xfId="3248"/>
    <cellStyle name="Linked Cell 13 3" xfId="3249"/>
    <cellStyle name="Linked Cell 14" xfId="3250"/>
    <cellStyle name="Linked Cell 14 2" xfId="3251"/>
    <cellStyle name="Linked Cell 14 3" xfId="3252"/>
    <cellStyle name="Linked Cell 15" xfId="3253"/>
    <cellStyle name="Linked Cell 15 2" xfId="3254"/>
    <cellStyle name="Linked Cell 15 3" xfId="3255"/>
    <cellStyle name="Linked Cell 16" xfId="3256"/>
    <cellStyle name="Linked Cell 17" xfId="3257"/>
    <cellStyle name="Linked Cell 18" xfId="3258"/>
    <cellStyle name="Linked Cell 19" xfId="4348"/>
    <cellStyle name="Linked Cell 2" xfId="3259"/>
    <cellStyle name="Linked Cell 2 10" xfId="3260"/>
    <cellStyle name="Linked Cell 2 11" xfId="3261"/>
    <cellStyle name="Linked Cell 2 12" xfId="3262"/>
    <cellStyle name="Linked Cell 2 13" xfId="3263"/>
    <cellStyle name="Linked Cell 2 14" xfId="3264"/>
    <cellStyle name="Linked Cell 2 15" xfId="3265"/>
    <cellStyle name="Linked Cell 2 2" xfId="3266"/>
    <cellStyle name="Linked Cell 2 3" xfId="3267"/>
    <cellStyle name="Linked Cell 2 4" xfId="3268"/>
    <cellStyle name="Linked Cell 2 5" xfId="3269"/>
    <cellStyle name="Linked Cell 2 6" xfId="3270"/>
    <cellStyle name="Linked Cell 2 7" xfId="3271"/>
    <cellStyle name="Linked Cell 2 8" xfId="3272"/>
    <cellStyle name="Linked Cell 2 9" xfId="3273"/>
    <cellStyle name="Linked Cell 3" xfId="3274"/>
    <cellStyle name="Linked Cell 3 2" xfId="3275"/>
    <cellStyle name="Linked Cell 3 3" xfId="3276"/>
    <cellStyle name="Linked Cell 3 4" xfId="3277"/>
    <cellStyle name="Linked Cell 3 5" xfId="3278"/>
    <cellStyle name="Linked Cell 3 5 2" xfId="3279"/>
    <cellStyle name="Linked Cell 3 6" xfId="3280"/>
    <cellStyle name="Linked Cell 3 7" xfId="3281"/>
    <cellStyle name="Linked Cell 3 8" xfId="3282"/>
    <cellStyle name="Linked Cell 3 9" xfId="3283"/>
    <cellStyle name="Linked Cell 4" xfId="3284"/>
    <cellStyle name="Linked Cell 4 2" xfId="3285"/>
    <cellStyle name="Linked Cell 5" xfId="3286"/>
    <cellStyle name="Linked Cell 5 2" xfId="3287"/>
    <cellStyle name="Linked Cell 6" xfId="3288"/>
    <cellStyle name="Linked Cell 6 2" xfId="3289"/>
    <cellStyle name="Linked Cell 7" xfId="3290"/>
    <cellStyle name="Linked Cell 8" xfId="3291"/>
    <cellStyle name="Linked Cell 9" xfId="3292"/>
    <cellStyle name="Linked Cell 9 2" xfId="3293"/>
    <cellStyle name="Linked Cell 9 2 2" xfId="3294"/>
    <cellStyle name="Linked Cell 9 3" xfId="3295"/>
    <cellStyle name="Linked Cell 9 4" xfId="3296"/>
    <cellStyle name="Linked Cell 9 5" xfId="3297"/>
    <cellStyle name="Linked Cells" xfId="3298"/>
    <cellStyle name="LTM Cell Column Heading" xfId="3299"/>
    <cellStyle name="Mega" xfId="3300"/>
    <cellStyle name="Millares [0]_pldt" xfId="3301"/>
    <cellStyle name="Millares_pldt" xfId="3302"/>
    <cellStyle name="Milliers [0]_!!!GO" xfId="3303"/>
    <cellStyle name="Milliers_!!!GO" xfId="3304"/>
    <cellStyle name="Mon_Year" xfId="3305"/>
    <cellStyle name="Moneda [0]_pldt" xfId="3306"/>
    <cellStyle name="Moneda_Coste Fidelizacion" xfId="3307"/>
    <cellStyle name="Monétaire [0]_!!!GO" xfId="3308"/>
    <cellStyle name="Monétaire_!!!GO" xfId="3309"/>
    <cellStyle name="MS Sans Serif" xfId="3310"/>
    <cellStyle name="MS_English" xfId="3311"/>
    <cellStyle name="Multiple" xfId="3312"/>
    <cellStyle name="Multiple Cell Column Heading" xfId="3313"/>
    <cellStyle name="NA is zero" xfId="3314"/>
    <cellStyle name="Neutral 10" xfId="3315"/>
    <cellStyle name="Neutral 10 2" xfId="3316"/>
    <cellStyle name="Neutral 10 3" xfId="3317"/>
    <cellStyle name="Neutral 11" xfId="3318"/>
    <cellStyle name="Neutral 11 2" xfId="3319"/>
    <cellStyle name="Neutral 11 3" xfId="3320"/>
    <cellStyle name="Neutral 12" xfId="3321"/>
    <cellStyle name="Neutral 12 2" xfId="3322"/>
    <cellStyle name="Neutral 12 3" xfId="3323"/>
    <cellStyle name="Neutral 13" xfId="3324"/>
    <cellStyle name="Neutral 13 2" xfId="3325"/>
    <cellStyle name="Neutral 13 3" xfId="3326"/>
    <cellStyle name="Neutral 14" xfId="3327"/>
    <cellStyle name="Neutral 14 2" xfId="3328"/>
    <cellStyle name="Neutral 14 3" xfId="3329"/>
    <cellStyle name="Neutral 15" xfId="3330"/>
    <cellStyle name="Neutral 15 2" xfId="3331"/>
    <cellStyle name="Neutral 15 3" xfId="3332"/>
    <cellStyle name="Neutral 16" xfId="3333"/>
    <cellStyle name="Neutral 17" xfId="3334"/>
    <cellStyle name="Neutral 18" xfId="3335"/>
    <cellStyle name="Neutral 19" xfId="3336"/>
    <cellStyle name="Neutral 2" xfId="3337"/>
    <cellStyle name="Neutral 2 10" xfId="3338"/>
    <cellStyle name="Neutral 2 11" xfId="3339"/>
    <cellStyle name="Neutral 2 12" xfId="3340"/>
    <cellStyle name="Neutral 2 13" xfId="3341"/>
    <cellStyle name="Neutral 2 14" xfId="3342"/>
    <cellStyle name="Neutral 2 15" xfId="3343"/>
    <cellStyle name="Neutral 2 2" xfId="3344"/>
    <cellStyle name="Neutral 2 3" xfId="3345"/>
    <cellStyle name="Neutral 2 4" xfId="3346"/>
    <cellStyle name="Neutral 2 5" xfId="3347"/>
    <cellStyle name="Neutral 2 6" xfId="3348"/>
    <cellStyle name="Neutral 2 7" xfId="3349"/>
    <cellStyle name="Neutral 2 8" xfId="3350"/>
    <cellStyle name="Neutral 2 9" xfId="3351"/>
    <cellStyle name="Neutral 20" xfId="4349"/>
    <cellStyle name="Neutral 3" xfId="3352"/>
    <cellStyle name="Neutral 3 2" xfId="3353"/>
    <cellStyle name="Neutral 3 3" xfId="3354"/>
    <cellStyle name="Neutral 3 4" xfId="3355"/>
    <cellStyle name="Neutral 3 5" xfId="3356"/>
    <cellStyle name="Neutral 3 5 2" xfId="3357"/>
    <cellStyle name="Neutral 3 6" xfId="3358"/>
    <cellStyle name="Neutral 3 7" xfId="3359"/>
    <cellStyle name="Neutral 3 8" xfId="3360"/>
    <cellStyle name="Neutral 3 9" xfId="3361"/>
    <cellStyle name="Neutral 4" xfId="3362"/>
    <cellStyle name="Neutral 4 2" xfId="3363"/>
    <cellStyle name="Neutral 5" xfId="3364"/>
    <cellStyle name="Neutral 5 2" xfId="3365"/>
    <cellStyle name="Neutral 6" xfId="3366"/>
    <cellStyle name="Neutral 6 2" xfId="3367"/>
    <cellStyle name="Neutral 7" xfId="3368"/>
    <cellStyle name="Neutral 8" xfId="3369"/>
    <cellStyle name="Neutral 9" xfId="3370"/>
    <cellStyle name="Neutral 9 2" xfId="3371"/>
    <cellStyle name="Neutral 9 2 2" xfId="3372"/>
    <cellStyle name="Neutral 9 3" xfId="3373"/>
    <cellStyle name="Neutral 9 4" xfId="3374"/>
    <cellStyle name="Neutral 9 5" xfId="3375"/>
    <cellStyle name="new style" xfId="3376"/>
    <cellStyle name="New Times Roman" xfId="3377"/>
    <cellStyle name="NewColumnHeaderNormal" xfId="3378"/>
    <cellStyle name="NewSectionHeaderNormal" xfId="3379"/>
    <cellStyle name="NewSectionHeaderNormal 2" xfId="3380"/>
    <cellStyle name="NewTitleNormal" xfId="3381"/>
    <cellStyle name="no dec" xfId="3382"/>
    <cellStyle name="nonmultiple" xfId="3383"/>
    <cellStyle name="NonPrint_Heading" xfId="3384"/>
    <cellStyle name="Norm੎੎" xfId="3385"/>
    <cellStyle name="Normal" xfId="0" builtinId="0"/>
    <cellStyle name="Normal - Style1" xfId="3386"/>
    <cellStyle name="Normal - Style1 2" xfId="3387"/>
    <cellStyle name="Normal - Style2" xfId="3388"/>
    <cellStyle name="Normal - Style3" xfId="3389"/>
    <cellStyle name="Normal - Style4" xfId="3390"/>
    <cellStyle name="Normal - Style5" xfId="3391"/>
    <cellStyle name="Normal - Style6" xfId="3392"/>
    <cellStyle name="Normal - Style7" xfId="3393"/>
    <cellStyle name="Normal - Style8" xfId="3394"/>
    <cellStyle name="Normal [0]" xfId="3395"/>
    <cellStyle name="Normal [1]" xfId="3396"/>
    <cellStyle name="Normal [2]" xfId="3397"/>
    <cellStyle name="Normal [3]" xfId="3398"/>
    <cellStyle name="Normal 10" xfId="3399"/>
    <cellStyle name="Normal 11" xfId="3400"/>
    <cellStyle name="Normal 12" xfId="3401"/>
    <cellStyle name="Normal 12 2" xfId="3402"/>
    <cellStyle name="Normal 13" xfId="3403"/>
    <cellStyle name="Normal 13 2" xfId="3404"/>
    <cellStyle name="Normal 14" xfId="3405"/>
    <cellStyle name="Normal 14 2" xfId="3406"/>
    <cellStyle name="Normal 14 3" xfId="3407"/>
    <cellStyle name="Normal 14 4" xfId="3408"/>
    <cellStyle name="Normal 15" xfId="3409"/>
    <cellStyle name="Normal 15 2" xfId="3410"/>
    <cellStyle name="Normal 15 3" xfId="3411"/>
    <cellStyle name="Normal 15 4" xfId="3412"/>
    <cellStyle name="Normal 16" xfId="3413"/>
    <cellStyle name="Normal 16 2" xfId="3414"/>
    <cellStyle name="Normal 17" xfId="3415"/>
    <cellStyle name="Normal 18" xfId="3416"/>
    <cellStyle name="Normal 18 2" xfId="3417"/>
    <cellStyle name="Normal 19" xfId="3418"/>
    <cellStyle name="Normal 2" xfId="9"/>
    <cellStyle name="Normal 2 10" xfId="3419"/>
    <cellStyle name="Normal 2 10 2" xfId="3420"/>
    <cellStyle name="Normal 2 10 2 2" xfId="3421"/>
    <cellStyle name="Normal 2 10 3" xfId="3422"/>
    <cellStyle name="Normal 2 10 4" xfId="3423"/>
    <cellStyle name="Normal 2 10 5" xfId="3424"/>
    <cellStyle name="Normal 2 11" xfId="3425"/>
    <cellStyle name="Normal 2 11 2" xfId="3426"/>
    <cellStyle name="Normal 2 11 3" xfId="3427"/>
    <cellStyle name="Normal 2 12" xfId="3428"/>
    <cellStyle name="Normal 2 12 2" xfId="3429"/>
    <cellStyle name="Normal 2 12 3" xfId="3430"/>
    <cellStyle name="Normal 2 13" xfId="3431"/>
    <cellStyle name="Normal 2 13 2" xfId="3432"/>
    <cellStyle name="Normal 2 14" xfId="3433"/>
    <cellStyle name="Normal 2 14 2" xfId="3434"/>
    <cellStyle name="Normal 2 15" xfId="3435"/>
    <cellStyle name="Normal 2 15 2" xfId="3436"/>
    <cellStyle name="Normal 2 16" xfId="3437"/>
    <cellStyle name="Normal 2 17" xfId="3438"/>
    <cellStyle name="Normal 2 18" xfId="3439"/>
    <cellStyle name="Normal 2 2" xfId="10"/>
    <cellStyle name="Normal 2 2 2" xfId="3440"/>
    <cellStyle name="Normal 2 2 2 2" xfId="3441"/>
    <cellStyle name="Normal 2 2 3" xfId="3442"/>
    <cellStyle name="Normal 2 2 3 2" xfId="3443"/>
    <cellStyle name="Normal 2 2 4" xfId="3444"/>
    <cellStyle name="Normal 2 3" xfId="3445"/>
    <cellStyle name="Normal 2 3 2" xfId="3446"/>
    <cellStyle name="Normal 2 3 2 2" xfId="3447"/>
    <cellStyle name="Normal 2 3 3" xfId="3448"/>
    <cellStyle name="Normal 2 3 4" xfId="3449"/>
    <cellStyle name="Normal 2 3 5" xfId="3450"/>
    <cellStyle name="Normal 2 3 6" xfId="3451"/>
    <cellStyle name="Normal 2 3 7" xfId="3452"/>
    <cellStyle name="Normal 2 4" xfId="3453"/>
    <cellStyle name="Normal 2 4 2" xfId="3454"/>
    <cellStyle name="Normal 2 4 3" xfId="3455"/>
    <cellStyle name="Normal 2 5" xfId="3456"/>
    <cellStyle name="Normal 2 5 2" xfId="3457"/>
    <cellStyle name="Normal 2 5 3" xfId="3458"/>
    <cellStyle name="Normal 2 6" xfId="3459"/>
    <cellStyle name="Normal 2 6 2" xfId="3460"/>
    <cellStyle name="Normal 2 6 3" xfId="3461"/>
    <cellStyle name="Normal 2 7" xfId="3462"/>
    <cellStyle name="Normal 2 7 2" xfId="3463"/>
    <cellStyle name="Normal 2 7 3" xfId="3464"/>
    <cellStyle name="Normal 2 8" xfId="3465"/>
    <cellStyle name="Normal 2 8 2" xfId="3466"/>
    <cellStyle name="Normal 2 8 3" xfId="3467"/>
    <cellStyle name="Normal 2 9" xfId="3468"/>
    <cellStyle name="Normal 2 9 2" xfId="3469"/>
    <cellStyle name="Normal 2 9 2 2" xfId="3470"/>
    <cellStyle name="Normal 2 9 3" xfId="3471"/>
    <cellStyle name="Normal 2 9 4" xfId="3472"/>
    <cellStyle name="Normal 2 9 5" xfId="3473"/>
    <cellStyle name="Normal 20" xfId="3474"/>
    <cellStyle name="Normal 20 2" xfId="3475"/>
    <cellStyle name="Normal 21" xfId="3476"/>
    <cellStyle name="Normal 22" xfId="3477"/>
    <cellStyle name="Normal 23" xfId="3478"/>
    <cellStyle name="Normal 24" xfId="3479"/>
    <cellStyle name="Normal 25" xfId="4310"/>
    <cellStyle name="Normal 25 2" xfId="4355"/>
    <cellStyle name="Normal 3" xfId="11"/>
    <cellStyle name="Normal 3 2" xfId="3480"/>
    <cellStyle name="Normal 3 2 2" xfId="3481"/>
    <cellStyle name="Normal 3 2 2 2" xfId="3482"/>
    <cellStyle name="Normal 3 2 3" xfId="3483"/>
    <cellStyle name="Normal 3 3" xfId="3484"/>
    <cellStyle name="Normal 3 4" xfId="3485"/>
    <cellStyle name="Normal 3_Display" xfId="3486"/>
    <cellStyle name="Normal 4" xfId="3487"/>
    <cellStyle name="Normal 4 2" xfId="3488"/>
    <cellStyle name="Normal 4 3" xfId="3489"/>
    <cellStyle name="Normal 4 4" xfId="3490"/>
    <cellStyle name="Normal 4 5" xfId="3491"/>
    <cellStyle name="Normal 4 5 2" xfId="3492"/>
    <cellStyle name="Normal 4 6" xfId="3493"/>
    <cellStyle name="Normal 4 7" xfId="3494"/>
    <cellStyle name="Normal 4 8" xfId="3495"/>
    <cellStyle name="Normal 4 9" xfId="3496"/>
    <cellStyle name="Normal 4_Display" xfId="3497"/>
    <cellStyle name="Normal 5" xfId="3498"/>
    <cellStyle name="Normal 5 2" xfId="3499"/>
    <cellStyle name="Normal 5 3" xfId="3500"/>
    <cellStyle name="Normal 5 4" xfId="3501"/>
    <cellStyle name="Normal 5 5" xfId="3502"/>
    <cellStyle name="Normal 5 5 2" xfId="3503"/>
    <cellStyle name="Normal 5 6" xfId="3504"/>
    <cellStyle name="Normal 5 7" xfId="3505"/>
    <cellStyle name="Normal 5 8" xfId="3506"/>
    <cellStyle name="Normal 5_Display" xfId="3507"/>
    <cellStyle name="Normal 6" xfId="3508"/>
    <cellStyle name="Normal 6 2" xfId="3509"/>
    <cellStyle name="Normal 6_Display" xfId="3510"/>
    <cellStyle name="Normal 7" xfId="3511"/>
    <cellStyle name="Normal 7 2" xfId="3512"/>
    <cellStyle name="Normal 7 2 2" xfId="3513"/>
    <cellStyle name="Normal 7 2 3" xfId="3514"/>
    <cellStyle name="Normal 7 3" xfId="3515"/>
    <cellStyle name="Normal 7 3 2" xfId="3516"/>
    <cellStyle name="Normal 7 3 2 2" xfId="3517"/>
    <cellStyle name="Normal 7 3 2 3" xfId="3518"/>
    <cellStyle name="Normal 7 3 3" xfId="3519"/>
    <cellStyle name="Normal 7 3 4" xfId="3520"/>
    <cellStyle name="Normal 7 4" xfId="3521"/>
    <cellStyle name="Normal 7 5" xfId="3522"/>
    <cellStyle name="Normal 7 5 2" xfId="3523"/>
    <cellStyle name="Normal 7 5 3" xfId="3524"/>
    <cellStyle name="Normal 7 6" xfId="3525"/>
    <cellStyle name="Normal 7 7" xfId="3526"/>
    <cellStyle name="Normal 8" xfId="3527"/>
    <cellStyle name="Normal 8 2" xfId="3528"/>
    <cellStyle name="Normal 9" xfId="3529"/>
    <cellStyle name="Normal Bold" xfId="3530"/>
    <cellStyle name="Normal millions" xfId="3531"/>
    <cellStyle name="Normal no decimal" xfId="3532"/>
    <cellStyle name="Normal Pct" xfId="3533"/>
    <cellStyle name="Normal thousands" xfId="3534"/>
    <cellStyle name="Normal two decimals" xfId="3535"/>
    <cellStyle name="Normál_Book2000" xfId="3536"/>
    <cellStyle name="Normal_Press Release and Selected Financial  Data Q2 FY01" xfId="8"/>
    <cellStyle name="Normal_Press Release FY02  Q3 " xfId="5"/>
    <cellStyle name="normal1" xfId="3537"/>
    <cellStyle name="NormalCenter" xfId="3538"/>
    <cellStyle name="NormalGB" xfId="3539"/>
    <cellStyle name="NormalItalic" xfId="3540"/>
    <cellStyle name="NormalLeft" xfId="3541"/>
    <cellStyle name="NormalLeftBorderMed" xfId="3542"/>
    <cellStyle name="NormalTopBorder" xfId="3543"/>
    <cellStyle name="NormalTopBorderMed" xfId="3544"/>
    <cellStyle name="NormalUnderln" xfId="3545"/>
    <cellStyle name="NOT" xfId="3546"/>
    <cellStyle name="Note 10" xfId="3547"/>
    <cellStyle name="Note 10 2" xfId="3548"/>
    <cellStyle name="Note 10 3" xfId="3549"/>
    <cellStyle name="Note 11" xfId="3550"/>
    <cellStyle name="Note 11 2" xfId="3551"/>
    <cellStyle name="Note 11 3" xfId="3552"/>
    <cellStyle name="Note 12" xfId="3553"/>
    <cellStyle name="Note 12 2" xfId="3554"/>
    <cellStyle name="Note 12 3" xfId="3555"/>
    <cellStyle name="Note 13" xfId="3556"/>
    <cellStyle name="Note 13 2" xfId="3557"/>
    <cellStyle name="Note 13 3" xfId="3558"/>
    <cellStyle name="Note 14" xfId="3559"/>
    <cellStyle name="Note 14 2" xfId="3560"/>
    <cellStyle name="Note 14 3" xfId="3561"/>
    <cellStyle name="Note 15" xfId="3562"/>
    <cellStyle name="Note 15 2" xfId="3563"/>
    <cellStyle name="Note 15 3" xfId="3564"/>
    <cellStyle name="Note 16" xfId="3565"/>
    <cellStyle name="Note 17" xfId="3566"/>
    <cellStyle name="Note 18" xfId="3567"/>
    <cellStyle name="Note 19" xfId="3568"/>
    <cellStyle name="Note 2" xfId="3569"/>
    <cellStyle name="Note 2 10" xfId="3570"/>
    <cellStyle name="Note 2 10 2" xfId="3571"/>
    <cellStyle name="Note 2 11" xfId="3572"/>
    <cellStyle name="Note 2 12" xfId="3573"/>
    <cellStyle name="Note 2 13" xfId="3574"/>
    <cellStyle name="Note 2 14" xfId="3575"/>
    <cellStyle name="Note 2 15" xfId="3576"/>
    <cellStyle name="Note 2 16" xfId="3577"/>
    <cellStyle name="Note 2 2" xfId="3578"/>
    <cellStyle name="Note 2 3" xfId="3579"/>
    <cellStyle name="Note 2 4" xfId="3580"/>
    <cellStyle name="Note 2 5" xfId="3581"/>
    <cellStyle name="Note 2 6" xfId="3582"/>
    <cellStyle name="Note 2 7" xfId="3583"/>
    <cellStyle name="Note 2 8" xfId="3584"/>
    <cellStyle name="Note 2 9" xfId="3585"/>
    <cellStyle name="Note 20" xfId="4350"/>
    <cellStyle name="Note 3" xfId="3586"/>
    <cellStyle name="Note 3 2" xfId="3587"/>
    <cellStyle name="Note 3 3" xfId="3588"/>
    <cellStyle name="Note 3 4" xfId="3589"/>
    <cellStyle name="Note 3 5" xfId="3590"/>
    <cellStyle name="Note 3 5 2" xfId="3591"/>
    <cellStyle name="Note 3 6" xfId="3592"/>
    <cellStyle name="Note 3 7" xfId="3593"/>
    <cellStyle name="Note 3 8" xfId="3594"/>
    <cellStyle name="Note 3 9" xfId="3595"/>
    <cellStyle name="Note 4" xfId="3596"/>
    <cellStyle name="Note 4 2" xfId="3597"/>
    <cellStyle name="Note 5" xfId="3598"/>
    <cellStyle name="Note 5 2" xfId="3599"/>
    <cellStyle name="Note 6" xfId="3600"/>
    <cellStyle name="Note 6 2" xfId="3601"/>
    <cellStyle name="Note 7" xfId="3602"/>
    <cellStyle name="Note 8" xfId="3603"/>
    <cellStyle name="Note 8 2" xfId="3604"/>
    <cellStyle name="Note 8 2 2" xfId="3605"/>
    <cellStyle name="Note 8 3" xfId="3606"/>
    <cellStyle name="Note 8 4" xfId="3607"/>
    <cellStyle name="Note 8 5" xfId="3608"/>
    <cellStyle name="Note 9" xfId="3609"/>
    <cellStyle name="Note 9 2" xfId="3610"/>
    <cellStyle name="Note 9 3" xfId="3611"/>
    <cellStyle name="Note 9 4" xfId="3612"/>
    <cellStyle name="Notes" xfId="3613"/>
    <cellStyle name="NPPESalesPct" xfId="3614"/>
    <cellStyle name="Number" xfId="3615"/>
    <cellStyle name="Number 2" xfId="3616"/>
    <cellStyle name="Number 3" xfId="3617"/>
    <cellStyle name="Number_Cashflow Q1 CY09" xfId="3618"/>
    <cellStyle name="NumberTopBorder" xfId="3619"/>
    <cellStyle name="Numéro_Tab" xfId="3620"/>
    <cellStyle name="NWI%S" xfId="3621"/>
    <cellStyle name="Œ…‹æØ‚è [0.00]_laroux" xfId="3622"/>
    <cellStyle name="Œ…‹æØ‚è_laroux" xfId="3623"/>
    <cellStyle name="ore" xfId="3624"/>
    <cellStyle name="Output 10" xfId="3625"/>
    <cellStyle name="Output 10 2" xfId="3626"/>
    <cellStyle name="Output 10 3" xfId="3627"/>
    <cellStyle name="Output 11" xfId="3628"/>
    <cellStyle name="Output 11 2" xfId="3629"/>
    <cellStyle name="Output 11 3" xfId="3630"/>
    <cellStyle name="Output 12" xfId="3631"/>
    <cellStyle name="Output 12 2" xfId="3632"/>
    <cellStyle name="Output 12 3" xfId="3633"/>
    <cellStyle name="Output 13" xfId="3634"/>
    <cellStyle name="Output 13 2" xfId="3635"/>
    <cellStyle name="Output 13 3" xfId="3636"/>
    <cellStyle name="Output 14" xfId="3637"/>
    <cellStyle name="Output 14 2" xfId="3638"/>
    <cellStyle name="Output 14 3" xfId="3639"/>
    <cellStyle name="Output 15" xfId="3640"/>
    <cellStyle name="Output 15 2" xfId="3641"/>
    <cellStyle name="Output 15 3" xfId="3642"/>
    <cellStyle name="Output 16" xfId="3643"/>
    <cellStyle name="Output 17" xfId="3644"/>
    <cellStyle name="Output 18" xfId="3645"/>
    <cellStyle name="Output 19" xfId="3646"/>
    <cellStyle name="Output 2" xfId="3647"/>
    <cellStyle name="Output 2 10" xfId="3648"/>
    <cellStyle name="Output 2 11" xfId="3649"/>
    <cellStyle name="Output 2 12" xfId="3650"/>
    <cellStyle name="Output 2 13" xfId="3651"/>
    <cellStyle name="Output 2 14" xfId="3652"/>
    <cellStyle name="Output 2 15" xfId="3653"/>
    <cellStyle name="Output 2 2" xfId="3654"/>
    <cellStyle name="Output 2 3" xfId="3655"/>
    <cellStyle name="Output 2 4" xfId="3656"/>
    <cellStyle name="Output 2 5" xfId="3657"/>
    <cellStyle name="Output 2 6" xfId="3658"/>
    <cellStyle name="Output 2 7" xfId="3659"/>
    <cellStyle name="Output 2 8" xfId="3660"/>
    <cellStyle name="Output 2 9" xfId="3661"/>
    <cellStyle name="Output 20" xfId="4351"/>
    <cellStyle name="Output 3" xfId="3662"/>
    <cellStyle name="Output 3 2" xfId="3663"/>
    <cellStyle name="Output 3 3" xfId="3664"/>
    <cellStyle name="Output 3 4" xfId="3665"/>
    <cellStyle name="Output 3 5" xfId="3666"/>
    <cellStyle name="Output 3 5 2" xfId="3667"/>
    <cellStyle name="Output 3 6" xfId="3668"/>
    <cellStyle name="Output 3 7" xfId="3669"/>
    <cellStyle name="Output 3 8" xfId="3670"/>
    <cellStyle name="Output 3 9" xfId="3671"/>
    <cellStyle name="Output 4" xfId="3672"/>
    <cellStyle name="Output 4 2" xfId="3673"/>
    <cellStyle name="Output 5" xfId="3674"/>
    <cellStyle name="Output 5 2" xfId="3675"/>
    <cellStyle name="Output 6" xfId="3676"/>
    <cellStyle name="Output 6 2" xfId="3677"/>
    <cellStyle name="Output 7" xfId="3678"/>
    <cellStyle name="Output 8" xfId="3679"/>
    <cellStyle name="Output 9" xfId="3680"/>
    <cellStyle name="Output 9 2" xfId="3681"/>
    <cellStyle name="Output 9 2 2" xfId="3682"/>
    <cellStyle name="Output 9 3" xfId="3683"/>
    <cellStyle name="Output 9 4" xfId="3684"/>
    <cellStyle name="Output 9 5" xfId="3685"/>
    <cellStyle name="Output Amounts" xfId="3686"/>
    <cellStyle name="OUTPUT COLUMN HEADINGS" xfId="3687"/>
    <cellStyle name="Output Line Items" xfId="3688"/>
    <cellStyle name="OUTPUT REPORT HEADING" xfId="3689"/>
    <cellStyle name="OUTPUT REPORT TITLE" xfId="3690"/>
    <cellStyle name="Override" xfId="3691"/>
    <cellStyle name="Page Heading Large" xfId="3692"/>
    <cellStyle name="Page Heading Small" xfId="3693"/>
    <cellStyle name="Page Number" xfId="3694"/>
    <cellStyle name="paint" xfId="3695"/>
    <cellStyle name="Pénznem [0]_Cable" xfId="3696"/>
    <cellStyle name="Pénznem_Cable" xfId="3697"/>
    <cellStyle name="per.style" xfId="3698"/>
    <cellStyle name="Percent" xfId="3" builtinId="5"/>
    <cellStyle name="Percent [0]" xfId="3699"/>
    <cellStyle name="Percent [0] 2" xfId="3700"/>
    <cellStyle name="Percent [00]" xfId="3701"/>
    <cellStyle name="Percent [00] 2" xfId="3702"/>
    <cellStyle name="Percent [1]" xfId="3703"/>
    <cellStyle name="Percent [2]" xfId="3704"/>
    <cellStyle name="Percent 0" xfId="3705"/>
    <cellStyle name="Percent 0,00" xfId="3706"/>
    <cellStyle name="Percent 0_7.2.3. CAPEX" xfId="3707"/>
    <cellStyle name="Percent 10" xfId="3708"/>
    <cellStyle name="Percent 11" xfId="3709"/>
    <cellStyle name="Percent 12" xfId="4313"/>
    <cellStyle name="Percent 2" xfId="7"/>
    <cellStyle name="Percent 2 2" xfId="3710"/>
    <cellStyle name="Percent 2 3" xfId="3711"/>
    <cellStyle name="Percent 3" xfId="3712"/>
    <cellStyle name="Percent 3 2" xfId="3713"/>
    <cellStyle name="Percent 3 2 2" xfId="3714"/>
    <cellStyle name="Percent 3 2 2 2" xfId="3715"/>
    <cellStyle name="Percent 3 2 2 3" xfId="3716"/>
    <cellStyle name="Percent 3 2 3" xfId="3717"/>
    <cellStyle name="Percent 3 2 4" xfId="3718"/>
    <cellStyle name="Percent 3 3" xfId="3719"/>
    <cellStyle name="Percent 3 4" xfId="3720"/>
    <cellStyle name="Percent 3 4 2" xfId="3721"/>
    <cellStyle name="Percent 3 4 3" xfId="3722"/>
    <cellStyle name="Percent 3 5" xfId="3723"/>
    <cellStyle name="Percent 4" xfId="3724"/>
    <cellStyle name="Percent 5" xfId="3725"/>
    <cellStyle name="Percent 6" xfId="3726"/>
    <cellStyle name="Percent 7" xfId="3727"/>
    <cellStyle name="Percent 8" xfId="3728"/>
    <cellStyle name="Percent 9" xfId="3729"/>
    <cellStyle name="Percent Hard" xfId="3730"/>
    <cellStyle name="Percent0Dec" xfId="3731"/>
    <cellStyle name="Percent2Dec" xfId="3732"/>
    <cellStyle name="percentage" xfId="3733"/>
    <cellStyle name="Percento" xfId="3734"/>
    <cellStyle name="PercentSales" xfId="3735"/>
    <cellStyle name="PillarData" xfId="3736"/>
    <cellStyle name="PillarHeading" xfId="3737"/>
    <cellStyle name="PillarText" xfId="3738"/>
    <cellStyle name="PillarTotal" xfId="3739"/>
    <cellStyle name="Pourcentage_losses 2005 04" xfId="3740"/>
    <cellStyle name="Precent" xfId="3741"/>
    <cellStyle name="PrePop Currency (0)" xfId="3742"/>
    <cellStyle name="PrePop Currency (0) 2" xfId="3743"/>
    <cellStyle name="PrePop Currency (2)" xfId="3744"/>
    <cellStyle name="PrePop Currency (2) 2" xfId="3745"/>
    <cellStyle name="PrePop Units (0)" xfId="3746"/>
    <cellStyle name="PrePop Units (0) 2" xfId="3747"/>
    <cellStyle name="PrePop Units (1)" xfId="3748"/>
    <cellStyle name="PrePop Units (1) 2" xfId="3749"/>
    <cellStyle name="PrePop Units (2)" xfId="3750"/>
    <cellStyle name="PrePop Units (2) 2" xfId="3751"/>
    <cellStyle name="Pricelist" xfId="3752"/>
    <cellStyle name="pricing" xfId="3753"/>
    <cellStyle name="pricing 2" xfId="3754"/>
    <cellStyle name="Product Title" xfId="3755"/>
    <cellStyle name="Product Title 10" xfId="3756"/>
    <cellStyle name="Product Title 11" xfId="3757"/>
    <cellStyle name="Product Title 12" xfId="3758"/>
    <cellStyle name="Product Title 2" xfId="3759"/>
    <cellStyle name="Product Title 3" xfId="3760"/>
    <cellStyle name="Product Title 4" xfId="3761"/>
    <cellStyle name="Product Title 5" xfId="3762"/>
    <cellStyle name="Product Title 6" xfId="3763"/>
    <cellStyle name="Product Title 7" xfId="3764"/>
    <cellStyle name="Product Title 8" xfId="3765"/>
    <cellStyle name="Product Title 9" xfId="3766"/>
    <cellStyle name="Prozent +line" xfId="3767"/>
    <cellStyle name="Prozent(+line)" xfId="3768"/>
    <cellStyle name="Prozent_7.2.3. CAPEX" xfId="3769"/>
    <cellStyle name="PSChar" xfId="3770"/>
    <cellStyle name="PSDate" xfId="3771"/>
    <cellStyle name="PSDec" xfId="3772"/>
    <cellStyle name="PSHeading" xfId="3773"/>
    <cellStyle name="PSInt" xfId="3774"/>
    <cellStyle name="PSSpacer" xfId="3775"/>
    <cellStyle name="Red font" xfId="3776"/>
    <cellStyle name="réel" xfId="3777"/>
    <cellStyle name="Reference" xfId="3778"/>
    <cellStyle name="Reference (O%)" xfId="3779"/>
    <cellStyle name="Reference (O%) 10" xfId="3780"/>
    <cellStyle name="Reference (O%) 11" xfId="3781"/>
    <cellStyle name="Reference (O%) 12" xfId="3782"/>
    <cellStyle name="Reference (O%) 2" xfId="3783"/>
    <cellStyle name="Reference (O%) 3" xfId="3784"/>
    <cellStyle name="Reference (O%) 4" xfId="3785"/>
    <cellStyle name="Reference (O%) 5" xfId="3786"/>
    <cellStyle name="Reference (O%) 6" xfId="3787"/>
    <cellStyle name="Reference (O%) 7" xfId="3788"/>
    <cellStyle name="Reference (O%) 8" xfId="3789"/>
    <cellStyle name="Reference (O%) 9" xfId="3790"/>
    <cellStyle name="Reference [00]" xfId="3791"/>
    <cellStyle name="Reference [00] 10" xfId="3792"/>
    <cellStyle name="Reference [00] 11" xfId="3793"/>
    <cellStyle name="Reference [00] 12" xfId="3794"/>
    <cellStyle name="Reference [00] 2" xfId="3795"/>
    <cellStyle name="Reference [00] 3" xfId="3796"/>
    <cellStyle name="Reference [00] 4" xfId="3797"/>
    <cellStyle name="Reference [00] 5" xfId="3798"/>
    <cellStyle name="Reference [00] 6" xfId="3799"/>
    <cellStyle name="Reference [00] 7" xfId="3800"/>
    <cellStyle name="Reference [00] 8" xfId="3801"/>
    <cellStyle name="Reference [00] 9" xfId="3802"/>
    <cellStyle name="Reference 10" xfId="3803"/>
    <cellStyle name="Reference 11" xfId="3804"/>
    <cellStyle name="Reference 12" xfId="3805"/>
    <cellStyle name="Reference 2" xfId="3806"/>
    <cellStyle name="Reference 3" xfId="3807"/>
    <cellStyle name="Reference 4" xfId="3808"/>
    <cellStyle name="Reference 5" xfId="3809"/>
    <cellStyle name="Reference 6" xfId="3810"/>
    <cellStyle name="Reference 7" xfId="3811"/>
    <cellStyle name="Reference 8" xfId="3812"/>
    <cellStyle name="Reference 9" xfId="3813"/>
    <cellStyle name="Reference_Form CC 1 2 4 June 05" xfId="3814"/>
    <cellStyle name="regstoresfromspecstores" xfId="3815"/>
    <cellStyle name="ReportTitlePrompt" xfId="3816"/>
    <cellStyle name="ReportTitleValue" xfId="3817"/>
    <cellStyle name="RevList" xfId="3818"/>
    <cellStyle name="RevList 2" xfId="3819"/>
    <cellStyle name="Row Ignore" xfId="3820"/>
    <cellStyle name="Row Ignore 10" xfId="3821"/>
    <cellStyle name="Row Ignore 11" xfId="3822"/>
    <cellStyle name="Row Ignore 12" xfId="3823"/>
    <cellStyle name="Row Ignore 2" xfId="3824"/>
    <cellStyle name="Row Ignore 3" xfId="3825"/>
    <cellStyle name="Row Ignore 4" xfId="3826"/>
    <cellStyle name="Row Ignore 5" xfId="3827"/>
    <cellStyle name="Row Ignore 6" xfId="3828"/>
    <cellStyle name="Row Ignore 7" xfId="3829"/>
    <cellStyle name="Row Ignore 8" xfId="3830"/>
    <cellStyle name="Row Ignore 9" xfId="3831"/>
    <cellStyle name="Row Title 1" xfId="3832"/>
    <cellStyle name="Row Title 2" xfId="3833"/>
    <cellStyle name="Row Title 3" xfId="3834"/>
    <cellStyle name="Row Total" xfId="3835"/>
    <cellStyle name="RowAcctAbovePrompt" xfId="3836"/>
    <cellStyle name="RowAcctSOBAbovePrompt" xfId="3837"/>
    <cellStyle name="RowAcctSOBValue" xfId="3838"/>
    <cellStyle name="RowAcctValue" xfId="3839"/>
    <cellStyle name="RowAttrAbovePrompt" xfId="3840"/>
    <cellStyle name="RowAttrValue" xfId="3841"/>
    <cellStyle name="RowColSetAbovePrompt" xfId="3842"/>
    <cellStyle name="RowColSetLeftPrompt" xfId="3843"/>
    <cellStyle name="RowColSetValue" xfId="3844"/>
    <cellStyle name="RowHeader_Indent3" xfId="3845"/>
    <cellStyle name="RowLeftPrompt" xfId="3846"/>
    <cellStyle name="RowLevel_0" xfId="3847"/>
    <cellStyle name="Saisie" xfId="3848"/>
    <cellStyle name="Salomon Logo" xfId="3849"/>
    <cellStyle name="SampleUsingFormatMask" xfId="3850"/>
    <cellStyle name="SampleWithNoFormatMask" xfId="3851"/>
    <cellStyle name="SectionHeaderNormal" xfId="3852"/>
    <cellStyle name="Shade on" xfId="3853"/>
    <cellStyle name="Shaded" xfId="3854"/>
    <cellStyle name="SHADEDSTORES" xfId="3855"/>
    <cellStyle name="ShOut" xfId="3856"/>
    <cellStyle name="Simbolo" xfId="3857"/>
    <cellStyle name="single" xfId="3858"/>
    <cellStyle name="Single Accounting" xfId="3859"/>
    <cellStyle name="Single Cell Column Heading" xfId="3860"/>
    <cellStyle name="specstores" xfId="3861"/>
    <cellStyle name="Standaard_Residential" xfId="3862"/>
    <cellStyle name="Standard" xfId="3863"/>
    <cellStyle name="Standard format" xfId="3864"/>
    <cellStyle name="Standard_GRPK2005_Q1 - YTD - v2" xfId="3865"/>
    <cellStyle name="STIL1 - Style1" xfId="3866"/>
    <cellStyle name="Style 1" xfId="3867"/>
    <cellStyle name="Style 1 2" xfId="3868"/>
    <cellStyle name="Style 1 3" xfId="3869"/>
    <cellStyle name="Style 1_Cashflow Q1 CY09" xfId="3870"/>
    <cellStyle name="Style 2" xfId="3871"/>
    <cellStyle name="Style 2B" xfId="3872"/>
    <cellStyle name="Style 3" xfId="3873"/>
    <cellStyle name="Style 4" xfId="3874"/>
    <cellStyle name="SubScript" xfId="3875"/>
    <cellStyle name="SubTitle" xfId="3876"/>
    <cellStyle name="Subtotal" xfId="3877"/>
    <cellStyle name="Subtotal 2" xfId="3878"/>
    <cellStyle name="summary info only" xfId="3879"/>
    <cellStyle name="Summe" xfId="3880"/>
    <cellStyle name="SuperScript" xfId="3881"/>
    <cellStyle name="Table Col Head" xfId="3882"/>
    <cellStyle name="Table Head" xfId="3883"/>
    <cellStyle name="Table Head Aligned" xfId="3884"/>
    <cellStyle name="Table Head Blue" xfId="3885"/>
    <cellStyle name="Table Head Green" xfId="3886"/>
    <cellStyle name="Table Head_Val_Sum_Graph" xfId="3887"/>
    <cellStyle name="Table Sub Head" xfId="3888"/>
    <cellStyle name="Table Text" xfId="3889"/>
    <cellStyle name="Table Title" xfId="3890"/>
    <cellStyle name="Table Units" xfId="3891"/>
    <cellStyle name="Table_Header" xfId="3892"/>
    <cellStyle name="Tariff" xfId="3893"/>
    <cellStyle name="task" xfId="3894"/>
    <cellStyle name="TCAM" xfId="3895"/>
    <cellStyle name="TDM" xfId="3896"/>
    <cellStyle name="Testo" xfId="3897"/>
    <cellStyle name="Text" xfId="3898"/>
    <cellStyle name="Text 1" xfId="3899"/>
    <cellStyle name="Text 10" xfId="3900"/>
    <cellStyle name="Text 11" xfId="3901"/>
    <cellStyle name="Text 12" xfId="3902"/>
    <cellStyle name="Text 2" xfId="3903"/>
    <cellStyle name="Text 3" xfId="3904"/>
    <cellStyle name="Text 4" xfId="3905"/>
    <cellStyle name="Text 5" xfId="3906"/>
    <cellStyle name="Text 6" xfId="3907"/>
    <cellStyle name="Text 7" xfId="3908"/>
    <cellStyle name="Text 8" xfId="3909"/>
    <cellStyle name="Text 9" xfId="3910"/>
    <cellStyle name="Text Head 1" xfId="3911"/>
    <cellStyle name="Text Indent A" xfId="3912"/>
    <cellStyle name="Text Indent B" xfId="3913"/>
    <cellStyle name="Text Indent B 2" xfId="3914"/>
    <cellStyle name="Text Indent C" xfId="3915"/>
    <cellStyle name="Text Indent C 2" xfId="3916"/>
    <cellStyle name="Text Level 1" xfId="3917"/>
    <cellStyle name="Text Level 2" xfId="3918"/>
    <cellStyle name="Text Level 3" xfId="3919"/>
    <cellStyle name="Text Level 4" xfId="3920"/>
    <cellStyle name="Text Wrap" xfId="3921"/>
    <cellStyle name="Text_Income statement 2005.06" xfId="3922"/>
    <cellStyle name="TextBold" xfId="3923"/>
    <cellStyle name="TextItalic" xfId="3924"/>
    <cellStyle name="TextNormal" xfId="3925"/>
    <cellStyle name="TFCF" xfId="3926"/>
    <cellStyle name="Thousands" xfId="3927"/>
    <cellStyle name="Times 10" xfId="3928"/>
    <cellStyle name="Times 12" xfId="3929"/>
    <cellStyle name="Title 10" xfId="3930"/>
    <cellStyle name="Title 10 2" xfId="3931"/>
    <cellStyle name="Title 10 3" xfId="3932"/>
    <cellStyle name="Title 10 4" xfId="3933"/>
    <cellStyle name="Title 11" xfId="3934"/>
    <cellStyle name="Title 11 2" xfId="3935"/>
    <cellStyle name="Title 11 3" xfId="3936"/>
    <cellStyle name="Title 11 4" xfId="3937"/>
    <cellStyle name="Title 12" xfId="3938"/>
    <cellStyle name="Title 12 2" xfId="3939"/>
    <cellStyle name="Title 12 3" xfId="3940"/>
    <cellStyle name="Title 12 4" xfId="3941"/>
    <cellStyle name="Title 13" xfId="3942"/>
    <cellStyle name="Title 13 2" xfId="3943"/>
    <cellStyle name="Title 13 3" xfId="3944"/>
    <cellStyle name="Title 13 4" xfId="3945"/>
    <cellStyle name="Title 14" xfId="3946"/>
    <cellStyle name="Title 14 2" xfId="3947"/>
    <cellStyle name="Title 14 3" xfId="3948"/>
    <cellStyle name="Title 14 4" xfId="3949"/>
    <cellStyle name="Title 15" xfId="3950"/>
    <cellStyle name="Title 15 2" xfId="3951"/>
    <cellStyle name="Title 15 3" xfId="3952"/>
    <cellStyle name="Title 15 4" xfId="3953"/>
    <cellStyle name="Title 16" xfId="3954"/>
    <cellStyle name="Title 17" xfId="3955"/>
    <cellStyle name="Title 18" xfId="3956"/>
    <cellStyle name="Title 19" xfId="3957"/>
    <cellStyle name="Title 2" xfId="3958"/>
    <cellStyle name="Title 2 10" xfId="3959"/>
    <cellStyle name="Title 2 10 2" xfId="3960"/>
    <cellStyle name="Title 2 11" xfId="3961"/>
    <cellStyle name="Title 2 12" xfId="3962"/>
    <cellStyle name="Title 2 13" xfId="3963"/>
    <cellStyle name="Title 2 14" xfId="3964"/>
    <cellStyle name="Title 2 15" xfId="3965"/>
    <cellStyle name="Title 2 2" xfId="3966"/>
    <cellStyle name="Title 2 3" xfId="3967"/>
    <cellStyle name="Title 2 4" xfId="3968"/>
    <cellStyle name="Title 2 5" xfId="3969"/>
    <cellStyle name="Title 2 6" xfId="3970"/>
    <cellStyle name="Title 2 7" xfId="3971"/>
    <cellStyle name="Title 2 8" xfId="3972"/>
    <cellStyle name="Title 2 9" xfId="3973"/>
    <cellStyle name="Title 20" xfId="4352"/>
    <cellStyle name="Title 3" xfId="3974"/>
    <cellStyle name="Title 3 2" xfId="3975"/>
    <cellStyle name="Title 3 2 2" xfId="3976"/>
    <cellStyle name="Title 3 2 3" xfId="3977"/>
    <cellStyle name="Title 3 3" xfId="3978"/>
    <cellStyle name="Title 3 4" xfId="3979"/>
    <cellStyle name="Title 3 5" xfId="3980"/>
    <cellStyle name="Title 3 5 2" xfId="3981"/>
    <cellStyle name="Title 3 6" xfId="3982"/>
    <cellStyle name="Title 3 7" xfId="3983"/>
    <cellStyle name="Title 3 8" xfId="3984"/>
    <cellStyle name="Title 3 9" xfId="3985"/>
    <cellStyle name="Title 4" xfId="3986"/>
    <cellStyle name="Title 4 2" xfId="3987"/>
    <cellStyle name="Title 4 3" xfId="3988"/>
    <cellStyle name="Title 5" xfId="3989"/>
    <cellStyle name="Title 5 2" xfId="3990"/>
    <cellStyle name="Title 5 3" xfId="3991"/>
    <cellStyle name="Title 6" xfId="3992"/>
    <cellStyle name="Title 6 2" xfId="3993"/>
    <cellStyle name="Title 6 3" xfId="3994"/>
    <cellStyle name="Title 7" xfId="3995"/>
    <cellStyle name="Title 7 2" xfId="3996"/>
    <cellStyle name="Title 7 3" xfId="3997"/>
    <cellStyle name="Title 8" xfId="3998"/>
    <cellStyle name="Title 8 2" xfId="3999"/>
    <cellStyle name="Title 8 3" xfId="4000"/>
    <cellStyle name="Title 9" xfId="4001"/>
    <cellStyle name="Title 9 2" xfId="4002"/>
    <cellStyle name="Title 9 2 2" xfId="4003"/>
    <cellStyle name="Title 9 3" xfId="4004"/>
    <cellStyle name="Title 9 4" xfId="4005"/>
    <cellStyle name="Title 9 5" xfId="4006"/>
    <cellStyle name="TitleNormal" xfId="4007"/>
    <cellStyle name="Titolo" xfId="4008"/>
    <cellStyle name="Titolo Riga" xfId="4009"/>
    <cellStyle name="Titolo Riga 2" xfId="4010"/>
    <cellStyle name="titre" xfId="4011"/>
    <cellStyle name="Titre 2" xfId="4012"/>
    <cellStyle name="Top_Border" xfId="4013"/>
    <cellStyle name="Tot" xfId="4014"/>
    <cellStyle name="Tot 10" xfId="4015"/>
    <cellStyle name="Tot 11" xfId="4016"/>
    <cellStyle name="Tot 12" xfId="4017"/>
    <cellStyle name="Tot 2" xfId="4018"/>
    <cellStyle name="Tot 3" xfId="4019"/>
    <cellStyle name="Tot 4" xfId="4020"/>
    <cellStyle name="Tot 5" xfId="4021"/>
    <cellStyle name="Tot 6" xfId="4022"/>
    <cellStyle name="Tot 7" xfId="4023"/>
    <cellStyle name="Tot 8" xfId="4024"/>
    <cellStyle name="Tot 9" xfId="4025"/>
    <cellStyle name="Tot Dec" xfId="4026"/>
    <cellStyle name="Tot Dec 10" xfId="4027"/>
    <cellStyle name="Tot Dec 11" xfId="4028"/>
    <cellStyle name="Tot Dec 12" xfId="4029"/>
    <cellStyle name="Tot Dec 2" xfId="4030"/>
    <cellStyle name="Tot Dec 3" xfId="4031"/>
    <cellStyle name="Tot Dec 4" xfId="4032"/>
    <cellStyle name="Tot Dec 5" xfId="4033"/>
    <cellStyle name="Tot Dec 6" xfId="4034"/>
    <cellStyle name="Tot Dec 7" xfId="4035"/>
    <cellStyle name="Tot Dec 8" xfId="4036"/>
    <cellStyle name="Tot Dec 9" xfId="4037"/>
    <cellStyle name="Total 10" xfId="4038"/>
    <cellStyle name="Total 10 2" xfId="4039"/>
    <cellStyle name="Total 10 3" xfId="4040"/>
    <cellStyle name="Total 10 4" xfId="4041"/>
    <cellStyle name="Total 11" xfId="4042"/>
    <cellStyle name="Total 11 2" xfId="4043"/>
    <cellStyle name="Total 11 3" xfId="4044"/>
    <cellStyle name="Total 11 4" xfId="4045"/>
    <cellStyle name="Total 12" xfId="4046"/>
    <cellStyle name="Total 12 2" xfId="4047"/>
    <cellStyle name="Total 12 3" xfId="4048"/>
    <cellStyle name="Total 12 4" xfId="4049"/>
    <cellStyle name="Total 13" xfId="4050"/>
    <cellStyle name="Total 13 2" xfId="4051"/>
    <cellStyle name="Total 13 3" xfId="4052"/>
    <cellStyle name="Total 13 4" xfId="4053"/>
    <cellStyle name="Total 14" xfId="4054"/>
    <cellStyle name="Total 14 2" xfId="4055"/>
    <cellStyle name="Total 14 3" xfId="4056"/>
    <cellStyle name="Total 14 4" xfId="4057"/>
    <cellStyle name="Total 15" xfId="4058"/>
    <cellStyle name="Total 15 2" xfId="4059"/>
    <cellStyle name="Total 15 3" xfId="4060"/>
    <cellStyle name="Total 15 4" xfId="4061"/>
    <cellStyle name="Total 16" xfId="4062"/>
    <cellStyle name="Total 17" xfId="4063"/>
    <cellStyle name="Total 18" xfId="4064"/>
    <cellStyle name="Total 19" xfId="4065"/>
    <cellStyle name="Total 2" xfId="4066"/>
    <cellStyle name="Total 2 10" xfId="4067"/>
    <cellStyle name="Total 2 10 2" xfId="4068"/>
    <cellStyle name="Total 2 11" xfId="4069"/>
    <cellStyle name="Total 2 12" xfId="4070"/>
    <cellStyle name="Total 2 13" xfId="4071"/>
    <cellStyle name="Total 2 14" xfId="4072"/>
    <cellStyle name="Total 2 15" xfId="4073"/>
    <cellStyle name="Total 2 2" xfId="4074"/>
    <cellStyle name="Total 2 3" xfId="4075"/>
    <cellStyle name="Total 2 4" xfId="4076"/>
    <cellStyle name="Total 2 5" xfId="4077"/>
    <cellStyle name="Total 2 6" xfId="4078"/>
    <cellStyle name="Total 2 7" xfId="4079"/>
    <cellStyle name="Total 2 8" xfId="4080"/>
    <cellStyle name="Total 2 9" xfId="4081"/>
    <cellStyle name="Total 20" xfId="4353"/>
    <cellStyle name="Total 3" xfId="4082"/>
    <cellStyle name="Total 3 2" xfId="4083"/>
    <cellStyle name="Total 3 2 2" xfId="4084"/>
    <cellStyle name="Total 3 2 3" xfId="4085"/>
    <cellStyle name="Total 3 3" xfId="4086"/>
    <cellStyle name="Total 3 4" xfId="4087"/>
    <cellStyle name="Total 3 5" xfId="4088"/>
    <cellStyle name="Total 3 5 2" xfId="4089"/>
    <cellStyle name="Total 3 6" xfId="4090"/>
    <cellStyle name="Total 3 7" xfId="4091"/>
    <cellStyle name="Total 3 8" xfId="4092"/>
    <cellStyle name="Total 3 9" xfId="4093"/>
    <cellStyle name="Total 4" xfId="4094"/>
    <cellStyle name="Total 4 2" xfId="4095"/>
    <cellStyle name="Total 4 3" xfId="4096"/>
    <cellStyle name="Total 5" xfId="4097"/>
    <cellStyle name="Total 5 2" xfId="4098"/>
    <cellStyle name="Total 5 3" xfId="4099"/>
    <cellStyle name="Total 6" xfId="4100"/>
    <cellStyle name="Total 6 2" xfId="4101"/>
    <cellStyle name="Total 6 3" xfId="4102"/>
    <cellStyle name="Total 7" xfId="4103"/>
    <cellStyle name="Total 7 2" xfId="4104"/>
    <cellStyle name="Total 7 3" xfId="4105"/>
    <cellStyle name="Total 8" xfId="4106"/>
    <cellStyle name="Total 8 2" xfId="4107"/>
    <cellStyle name="Total 8 3" xfId="4108"/>
    <cellStyle name="Total 9" xfId="4109"/>
    <cellStyle name="Total 9 2" xfId="4110"/>
    <cellStyle name="Total 9 2 2" xfId="4111"/>
    <cellStyle name="Total 9 3" xfId="4112"/>
    <cellStyle name="Total 9 4" xfId="4113"/>
    <cellStyle name="Total 9 5" xfId="4114"/>
    <cellStyle name="Total Data" xfId="4115"/>
    <cellStyle name="Totale" xfId="4116"/>
    <cellStyle name="Totale 10" xfId="4117"/>
    <cellStyle name="Totale 11" xfId="4118"/>
    <cellStyle name="Totale 12" xfId="4119"/>
    <cellStyle name="Totale 2" xfId="4120"/>
    <cellStyle name="Totale 3" xfId="4121"/>
    <cellStyle name="Totale 4" xfId="4122"/>
    <cellStyle name="Totale 5" xfId="4123"/>
    <cellStyle name="Totale 6" xfId="4124"/>
    <cellStyle name="Totale 7" xfId="4125"/>
    <cellStyle name="Totale 8" xfId="4126"/>
    <cellStyle name="Totale 9" xfId="4127"/>
    <cellStyle name="Totale Dec" xfId="4128"/>
    <cellStyle name="Totale Dec 10" xfId="4129"/>
    <cellStyle name="Totale Dec 11" xfId="4130"/>
    <cellStyle name="Totale Dec 12" xfId="4131"/>
    <cellStyle name="Totale Dec 2" xfId="4132"/>
    <cellStyle name="Totale Dec 3" xfId="4133"/>
    <cellStyle name="Totale Dec 4" xfId="4134"/>
    <cellStyle name="Totale Dec 5" xfId="4135"/>
    <cellStyle name="Totale Dec 6" xfId="4136"/>
    <cellStyle name="Totale Dec 7" xfId="4137"/>
    <cellStyle name="Totale Dec 8" xfId="4138"/>
    <cellStyle name="Totale Dec 9" xfId="4139"/>
    <cellStyle name="Undefiniert" xfId="4140"/>
    <cellStyle name="Underline" xfId="4141"/>
    <cellStyle name="Unprot" xfId="4142"/>
    <cellStyle name="Unprot$" xfId="4143"/>
    <cellStyle name="Unprot_All BOMS Metro" xfId="4144"/>
    <cellStyle name="Unprotect" xfId="4145"/>
    <cellStyle name="UploadThisRowValue" xfId="4146"/>
    <cellStyle name="User_Defined_A" xfId="4147"/>
    <cellStyle name="ViewDate" xfId="4148"/>
    <cellStyle name="ViewDetailDate" xfId="4149"/>
    <cellStyle name="ViewDetailInt" xfId="4150"/>
    <cellStyle name="ViewDetailPct" xfId="4151"/>
    <cellStyle name="ViewGrndTotalInt" xfId="4152"/>
    <cellStyle name="ViewGrndTotalInt 10" xfId="4153"/>
    <cellStyle name="ViewGrndTotalInt 11" xfId="4154"/>
    <cellStyle name="ViewGrndTotalInt 12" xfId="4155"/>
    <cellStyle name="ViewGrndTotalInt 2" xfId="4156"/>
    <cellStyle name="ViewGrndTotalInt 3" xfId="4157"/>
    <cellStyle name="ViewGrndTotalInt 4" xfId="4158"/>
    <cellStyle name="ViewGrndTotalInt 5" xfId="4159"/>
    <cellStyle name="ViewGrndTotalInt 6" xfId="4160"/>
    <cellStyle name="ViewGrndTotalInt 7" xfId="4161"/>
    <cellStyle name="ViewGrndTotalInt 8" xfId="4162"/>
    <cellStyle name="ViewGrndTotalInt 9" xfId="4163"/>
    <cellStyle name="ViewGrndTotalPct" xfId="4164"/>
    <cellStyle name="ViewGrndTotalPct 10" xfId="4165"/>
    <cellStyle name="ViewGrndTotalPct 11" xfId="4166"/>
    <cellStyle name="ViewGrndTotalPct 12" xfId="4167"/>
    <cellStyle name="ViewGrndTotalPct 2" xfId="4168"/>
    <cellStyle name="ViewGrndTotalPct 3" xfId="4169"/>
    <cellStyle name="ViewGrndTotalPct 4" xfId="4170"/>
    <cellStyle name="ViewGrndTotalPct 5" xfId="4171"/>
    <cellStyle name="ViewGrndTotalPct 6" xfId="4172"/>
    <cellStyle name="ViewGrndTotalPct 7" xfId="4173"/>
    <cellStyle name="ViewGrndTotalPct 8" xfId="4174"/>
    <cellStyle name="ViewGrndTotalPct 9" xfId="4175"/>
    <cellStyle name="ViewHide" xfId="4176"/>
    <cellStyle name="ViewTotal" xfId="4177"/>
    <cellStyle name="ViewTotalHide" xfId="4178"/>
    <cellStyle name="ViewTotalInt" xfId="4179"/>
    <cellStyle name="ViewTotalPct" xfId="4180"/>
    <cellStyle name="Währung [0]_Acquisition stats" xfId="4181"/>
    <cellStyle name="Währung_Acquisition stats" xfId="4182"/>
    <cellStyle name="Warning" xfId="4183"/>
    <cellStyle name="Warning Text 10" xfId="4184"/>
    <cellStyle name="Warning Text 10 2" xfId="4185"/>
    <cellStyle name="Warning Text 10 3" xfId="4186"/>
    <cellStyle name="Warning Text 11" xfId="4187"/>
    <cellStyle name="Warning Text 11 2" xfId="4188"/>
    <cellStyle name="Warning Text 11 3" xfId="4189"/>
    <cellStyle name="Warning Text 12" xfId="4190"/>
    <cellStyle name="Warning Text 12 2" xfId="4191"/>
    <cellStyle name="Warning Text 12 3" xfId="4192"/>
    <cellStyle name="Warning Text 13" xfId="4193"/>
    <cellStyle name="Warning Text 13 2" xfId="4194"/>
    <cellStyle name="Warning Text 13 3" xfId="4195"/>
    <cellStyle name="Warning Text 14" xfId="4196"/>
    <cellStyle name="Warning Text 14 2" xfId="4197"/>
    <cellStyle name="Warning Text 14 3" xfId="4198"/>
    <cellStyle name="Warning Text 15" xfId="4199"/>
    <cellStyle name="Warning Text 15 2" xfId="4200"/>
    <cellStyle name="Warning Text 15 3" xfId="4201"/>
    <cellStyle name="Warning Text 16" xfId="4202"/>
    <cellStyle name="Warning Text 17" xfId="4203"/>
    <cellStyle name="Warning Text 18" xfId="4204"/>
    <cellStyle name="Warning Text 19" xfId="4205"/>
    <cellStyle name="Warning Text 2" xfId="4206"/>
    <cellStyle name="Warning Text 2 10" xfId="4207"/>
    <cellStyle name="Warning Text 2 11" xfId="4208"/>
    <cellStyle name="Warning Text 2 12" xfId="4209"/>
    <cellStyle name="Warning Text 2 13" xfId="4210"/>
    <cellStyle name="Warning Text 2 14" xfId="4211"/>
    <cellStyle name="Warning Text 2 15" xfId="4212"/>
    <cellStyle name="Warning Text 2 2" xfId="4213"/>
    <cellStyle name="Warning Text 2 3" xfId="4214"/>
    <cellStyle name="Warning Text 2 4" xfId="4215"/>
    <cellStyle name="Warning Text 2 5" xfId="4216"/>
    <cellStyle name="Warning Text 2 6" xfId="4217"/>
    <cellStyle name="Warning Text 2 7" xfId="4218"/>
    <cellStyle name="Warning Text 2 8" xfId="4219"/>
    <cellStyle name="Warning Text 2 9" xfId="4220"/>
    <cellStyle name="Warning Text 20" xfId="4354"/>
    <cellStyle name="Warning Text 3" xfId="4221"/>
    <cellStyle name="Warning Text 3 2" xfId="4222"/>
    <cellStyle name="Warning Text 3 3" xfId="4223"/>
    <cellStyle name="Warning Text 3 4" xfId="4224"/>
    <cellStyle name="Warning Text 3 5" xfId="4225"/>
    <cellStyle name="Warning Text 3 6" xfId="4226"/>
    <cellStyle name="Warning Text 3 7" xfId="4227"/>
    <cellStyle name="Warning Text 3 8" xfId="4228"/>
    <cellStyle name="Warning Text 4" xfId="4229"/>
    <cellStyle name="Warning Text 4 2" xfId="4230"/>
    <cellStyle name="Warning Text 5" xfId="4231"/>
    <cellStyle name="Warning Text 5 2" xfId="4232"/>
    <cellStyle name="Warning Text 6" xfId="4233"/>
    <cellStyle name="Warning Text 6 2" xfId="4234"/>
    <cellStyle name="Warning Text 7" xfId="4235"/>
    <cellStyle name="Warning Text 8" xfId="4236"/>
    <cellStyle name="Warning Text 9" xfId="4237"/>
    <cellStyle name="Warning Text 9 2" xfId="4238"/>
    <cellStyle name="Warning Text 9 3" xfId="4239"/>
    <cellStyle name="Warning Text 9 4" xfId="4240"/>
    <cellStyle name="web_ normal" xfId="4241"/>
    <cellStyle name="Work in progress" xfId="4242"/>
    <cellStyle name="x" xfId="4243"/>
    <cellStyle name="Year" xfId="4244"/>
    <cellStyle name="Yellow" xfId="4245"/>
    <cellStyle name="Yen" xfId="4246"/>
    <cellStyle name="똿뗦먛귟 [0.00]_laroux" xfId="4247"/>
    <cellStyle name="똿뗦먛귟_laroux" xfId="4248"/>
    <cellStyle name="믅됞 [0.00]_laroux" xfId="4249"/>
    <cellStyle name="믅됞_laroux" xfId="4250"/>
    <cellStyle name="백분율_95" xfId="4251"/>
    <cellStyle name="뷭?_BOOKSHIP" xfId="4252"/>
    <cellStyle name="콤마 [0]_1202" xfId="4259"/>
    <cellStyle name="콤마_1202" xfId="4260"/>
    <cellStyle name="통화 [0]_1202" xfId="4261"/>
    <cellStyle name="통화_1202" xfId="4262"/>
    <cellStyle name="표준_(정보부문)월별인원계획" xfId="4264"/>
    <cellStyle name="一般_Sheet1" xfId="4253"/>
    <cellStyle name="中等" xfId="4254"/>
    <cellStyle name="備註" xfId="4255"/>
    <cellStyle name="千位分隔[0]_BOM 3EC 37531 AAAA" xfId="4256"/>
    <cellStyle name="千位分隔_BOM 3EC 37531 AAAA" xfId="4257"/>
    <cellStyle name="合計" xfId="4258"/>
    <cellStyle name="壞" xfId="4263"/>
    <cellStyle name="好" xfId="4265"/>
    <cellStyle name="好_XBOX Total BI Q1'08 0310" xfId="4266"/>
    <cellStyle name="差" xfId="4267"/>
    <cellStyle name="常规_BOM 3EC 37531 AAAA" xfId="4268"/>
    <cellStyle name="强调文字颜色 1" xfId="4269"/>
    <cellStyle name="强调文字颜色 2" xfId="4270"/>
    <cellStyle name="强调文字颜色 3" xfId="4271"/>
    <cellStyle name="强调文字颜色 4" xfId="4272"/>
    <cellStyle name="强调文字颜色 5" xfId="4273"/>
    <cellStyle name="强调文字颜色 6" xfId="4274"/>
    <cellStyle name="标题" xfId="4275"/>
    <cellStyle name="标题 1" xfId="4276"/>
    <cellStyle name="标题 2" xfId="4277"/>
    <cellStyle name="标题 3" xfId="4278"/>
    <cellStyle name="标题 4" xfId="4279"/>
    <cellStyle name="检查单元格" xfId="4280"/>
    <cellStyle name="標題" xfId="4281"/>
    <cellStyle name="標題 1" xfId="4282"/>
    <cellStyle name="標題 2" xfId="4283"/>
    <cellStyle name="標題 3" xfId="4284"/>
    <cellStyle name="標題 4" xfId="4285"/>
    <cellStyle name="檢查儲存格" xfId="4286"/>
    <cellStyle name="汇总" xfId="4287"/>
    <cellStyle name="注释" xfId="4288"/>
    <cellStyle name="解释性文本" xfId="4289"/>
    <cellStyle name="計算方式" xfId="4290"/>
    <cellStyle name="說明文字" xfId="4291"/>
    <cellStyle name="警告文字" xfId="4292"/>
    <cellStyle name="警告文本" xfId="4293"/>
    <cellStyle name="计算" xfId="4294"/>
    <cellStyle name="货币[0]_BOM 3EC 37531 AAAA" xfId="4295"/>
    <cellStyle name="货币_BOM 3EC 37531 AAAA" xfId="4296"/>
    <cellStyle name="輔色1" xfId="4297"/>
    <cellStyle name="輔色2" xfId="4298"/>
    <cellStyle name="輔色3" xfId="4299"/>
    <cellStyle name="輔色4" xfId="4300"/>
    <cellStyle name="輔色5" xfId="4301"/>
    <cellStyle name="輔色6" xfId="4302"/>
    <cellStyle name="輸入" xfId="4303"/>
    <cellStyle name="輸出" xfId="4304"/>
    <cellStyle name="输入" xfId="4305"/>
    <cellStyle name="输出" xfId="4306"/>
    <cellStyle name="适中" xfId="4307"/>
    <cellStyle name="連結的儲存格" xfId="4308"/>
    <cellStyle name="链接单元格" xfId="4309"/>
  </cellStyles>
  <dxfs count="2">
    <dxf>
      <font>
        <condense val="0"/>
        <extend val="0"/>
        <color indexed="43"/>
      </font>
      <fill>
        <patternFill>
          <bgColor indexed="10"/>
        </patternFill>
      </fill>
    </dxf>
    <dxf>
      <font>
        <condense val="0"/>
        <extend val="0"/>
        <color indexed="43"/>
      </font>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12</xdr:col>
      <xdr:colOff>529166</xdr:colOff>
      <xdr:row>0</xdr:row>
      <xdr:rowOff>126996</xdr:rowOff>
    </xdr:from>
    <xdr:to>
      <xdr:col>17</xdr:col>
      <xdr:colOff>592666</xdr:colOff>
      <xdr:row>4</xdr:row>
      <xdr:rowOff>105830</xdr:rowOff>
    </xdr:to>
    <xdr:pic>
      <xdr:nvPicPr>
        <xdr:cNvPr id="2" name="Picture 1" descr="activision_blizz_tm_k_logo.eps"/>
        <xdr:cNvPicPr/>
      </xdr:nvPicPr>
      <xdr:blipFill>
        <a:blip xmlns:r="http://schemas.openxmlformats.org/officeDocument/2006/relationships" r:embed="rId1" cstate="print"/>
        <a:srcRect/>
        <a:stretch>
          <a:fillRect/>
        </a:stretch>
      </xdr:blipFill>
      <xdr:spPr bwMode="auto">
        <a:xfrm>
          <a:off x="7895166" y="126996"/>
          <a:ext cx="3132667" cy="113241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R30"/>
  <sheetViews>
    <sheetView showGridLines="0" view="pageBreakPreview" zoomScaleNormal="90" zoomScaleSheetLayoutView="100" workbookViewId="0"/>
  </sheetViews>
  <sheetFormatPr defaultRowHeight="15"/>
  <cols>
    <col min="1" max="16384" width="9.140625" style="408"/>
  </cols>
  <sheetData>
    <row r="3" spans="1:18" ht="48.75">
      <c r="A3" s="554" t="s">
        <v>36</v>
      </c>
      <c r="N3" s="555"/>
    </row>
    <row r="4" spans="1:18" ht="12" customHeight="1">
      <c r="A4" s="554"/>
      <c r="N4" s="555"/>
    </row>
    <row r="5" spans="1:18" ht="15.75" thickBot="1">
      <c r="A5" s="556"/>
      <c r="B5" s="556"/>
      <c r="C5" s="556"/>
      <c r="D5" s="556"/>
      <c r="E5" s="556"/>
      <c r="F5" s="556"/>
      <c r="G5" s="556"/>
      <c r="H5" s="556"/>
      <c r="I5" s="556"/>
      <c r="J5" s="556"/>
      <c r="K5" s="556"/>
      <c r="L5" s="556"/>
      <c r="M5" s="556"/>
      <c r="N5" s="556"/>
      <c r="O5" s="556"/>
      <c r="P5" s="556"/>
      <c r="Q5" s="556"/>
      <c r="R5" s="556"/>
    </row>
    <row r="6" spans="1:18" ht="6" customHeight="1">
      <c r="A6" s="562"/>
      <c r="B6" s="561"/>
      <c r="C6" s="561"/>
      <c r="D6" s="561"/>
      <c r="E6" s="561"/>
      <c r="F6" s="561"/>
      <c r="G6" s="561"/>
      <c r="H6" s="561"/>
      <c r="I6" s="561"/>
      <c r="J6" s="561"/>
      <c r="K6" s="561"/>
      <c r="L6" s="561"/>
      <c r="M6" s="561"/>
      <c r="N6" s="561"/>
      <c r="O6" s="561"/>
    </row>
    <row r="7" spans="1:18" ht="55.5" customHeight="1">
      <c r="A7" s="582" t="s">
        <v>285</v>
      </c>
      <c r="B7" s="584"/>
      <c r="C7" s="584"/>
      <c r="D7" s="584"/>
      <c r="E7" s="584"/>
      <c r="F7" s="584"/>
      <c r="G7" s="584"/>
      <c r="H7" s="584"/>
      <c r="I7" s="584"/>
      <c r="J7" s="584"/>
      <c r="K7" s="584"/>
      <c r="L7" s="584"/>
      <c r="M7" s="584"/>
      <c r="N7" s="584"/>
      <c r="O7" s="584"/>
      <c r="P7" s="584"/>
      <c r="Q7" s="584"/>
      <c r="R7" s="584"/>
    </row>
    <row r="8" spans="1:18" ht="6" customHeight="1">
      <c r="A8" s="562"/>
      <c r="B8" s="561"/>
      <c r="C8" s="561"/>
      <c r="D8" s="561"/>
      <c r="E8" s="561"/>
      <c r="F8" s="561"/>
      <c r="G8" s="561"/>
      <c r="H8" s="561"/>
      <c r="I8" s="561"/>
      <c r="J8" s="561"/>
      <c r="K8" s="561"/>
      <c r="L8" s="561"/>
      <c r="M8" s="561"/>
      <c r="N8" s="561"/>
      <c r="O8" s="561"/>
    </row>
    <row r="9" spans="1:18" ht="28.5" customHeight="1">
      <c r="A9" s="582" t="s">
        <v>242</v>
      </c>
      <c r="B9" s="584"/>
      <c r="C9" s="584"/>
      <c r="D9" s="584"/>
      <c r="E9" s="584"/>
      <c r="F9" s="584"/>
      <c r="G9" s="584"/>
      <c r="H9" s="584"/>
      <c r="I9" s="584"/>
      <c r="J9" s="584"/>
      <c r="K9" s="584"/>
      <c r="L9" s="584"/>
      <c r="M9" s="584"/>
      <c r="N9" s="584"/>
      <c r="O9" s="584"/>
      <c r="P9" s="584"/>
      <c r="Q9" s="584"/>
      <c r="R9" s="584"/>
    </row>
    <row r="10" spans="1:18">
      <c r="A10" s="557"/>
      <c r="B10" s="558"/>
      <c r="C10" s="558"/>
      <c r="D10" s="558"/>
      <c r="E10" s="558"/>
      <c r="F10" s="558"/>
      <c r="G10" s="558"/>
      <c r="H10" s="558"/>
      <c r="I10" s="558"/>
      <c r="J10" s="558"/>
      <c r="K10" s="558"/>
      <c r="L10" s="558"/>
      <c r="M10" s="558"/>
      <c r="N10" s="558"/>
      <c r="O10" s="558"/>
    </row>
    <row r="11" spans="1:18">
      <c r="A11" s="559" t="s">
        <v>243</v>
      </c>
    </row>
    <row r="12" spans="1:18">
      <c r="A12" s="559" t="s">
        <v>156</v>
      </c>
    </row>
    <row r="13" spans="1:18" ht="26.25" customHeight="1">
      <c r="A13" s="585" t="s">
        <v>213</v>
      </c>
      <c r="B13" s="585"/>
      <c r="C13" s="585"/>
      <c r="D13" s="585"/>
      <c r="E13" s="585"/>
      <c r="F13" s="585"/>
      <c r="G13" s="585"/>
      <c r="H13" s="585"/>
      <c r="I13" s="585"/>
      <c r="J13" s="585"/>
      <c r="K13" s="585"/>
      <c r="L13" s="585"/>
      <c r="M13" s="585"/>
      <c r="N13" s="585"/>
      <c r="O13" s="585"/>
      <c r="P13" s="585"/>
      <c r="Q13" s="585"/>
      <c r="R13" s="585"/>
    </row>
    <row r="14" spans="1:18">
      <c r="A14" s="585" t="s">
        <v>220</v>
      </c>
      <c r="B14" s="585"/>
      <c r="C14" s="585"/>
      <c r="D14" s="585"/>
      <c r="E14" s="585"/>
      <c r="F14" s="585"/>
      <c r="G14" s="585"/>
      <c r="H14" s="585"/>
      <c r="I14" s="585"/>
      <c r="J14" s="585"/>
      <c r="K14" s="585"/>
      <c r="L14" s="585"/>
      <c r="M14" s="585"/>
      <c r="N14" s="585"/>
      <c r="O14" s="585"/>
      <c r="P14" s="585"/>
      <c r="Q14" s="585"/>
      <c r="R14" s="585"/>
    </row>
    <row r="15" spans="1:18">
      <c r="A15" s="559" t="s">
        <v>265</v>
      </c>
    </row>
    <row r="16" spans="1:18">
      <c r="A16" s="559" t="s">
        <v>253</v>
      </c>
    </row>
    <row r="17" spans="1:18">
      <c r="A17" s="559" t="s">
        <v>157</v>
      </c>
    </row>
    <row r="18" spans="1:18" ht="6" customHeight="1">
      <c r="A18" s="562"/>
      <c r="B18" s="561"/>
      <c r="C18" s="561"/>
      <c r="D18" s="561"/>
      <c r="E18" s="561"/>
      <c r="F18" s="561"/>
      <c r="G18" s="561"/>
      <c r="H18" s="561"/>
      <c r="I18" s="561"/>
      <c r="J18" s="561"/>
      <c r="K18" s="561"/>
      <c r="L18" s="561"/>
      <c r="M18" s="561"/>
      <c r="N18" s="561"/>
      <c r="O18" s="561"/>
    </row>
    <row r="19" spans="1:18" ht="362.25" customHeight="1">
      <c r="A19" s="582" t="s">
        <v>275</v>
      </c>
      <c r="B19" s="583"/>
      <c r="C19" s="583"/>
      <c r="D19" s="583"/>
      <c r="E19" s="583"/>
      <c r="F19" s="583"/>
      <c r="G19" s="583"/>
      <c r="H19" s="583"/>
      <c r="I19" s="583"/>
      <c r="J19" s="583"/>
      <c r="K19" s="583"/>
      <c r="L19" s="583"/>
      <c r="M19" s="583"/>
      <c r="N19" s="583"/>
      <c r="O19" s="583"/>
      <c r="P19" s="583"/>
      <c r="Q19" s="583"/>
      <c r="R19" s="583"/>
    </row>
    <row r="20" spans="1:18" ht="6" customHeight="1">
      <c r="A20" s="562"/>
      <c r="B20" s="561"/>
      <c r="C20" s="561"/>
      <c r="D20" s="561"/>
      <c r="E20" s="561"/>
      <c r="F20" s="561"/>
      <c r="G20" s="561"/>
      <c r="H20" s="561"/>
      <c r="I20" s="561"/>
      <c r="J20" s="561"/>
      <c r="K20" s="561"/>
      <c r="L20" s="561"/>
      <c r="M20" s="561"/>
      <c r="N20" s="561"/>
      <c r="O20" s="561"/>
    </row>
    <row r="21" spans="1:18" ht="34.5" customHeight="1">
      <c r="A21" s="582" t="s">
        <v>75</v>
      </c>
      <c r="B21" s="583"/>
      <c r="C21" s="583"/>
      <c r="D21" s="583"/>
      <c r="E21" s="583"/>
      <c r="F21" s="583"/>
      <c r="G21" s="583"/>
      <c r="H21" s="583"/>
      <c r="I21" s="583"/>
      <c r="J21" s="583"/>
      <c r="K21" s="583"/>
      <c r="L21" s="583"/>
      <c r="M21" s="583"/>
      <c r="N21" s="583"/>
      <c r="O21" s="583"/>
      <c r="P21" s="583"/>
      <c r="Q21" s="583"/>
      <c r="R21" s="583"/>
    </row>
    <row r="22" spans="1:18" ht="6" customHeight="1">
      <c r="A22" s="562"/>
      <c r="B22" s="561"/>
      <c r="C22" s="561"/>
      <c r="D22" s="561"/>
      <c r="E22" s="561"/>
      <c r="F22" s="561"/>
      <c r="G22" s="561"/>
      <c r="H22" s="561"/>
      <c r="I22" s="561"/>
      <c r="J22" s="561"/>
      <c r="K22" s="561"/>
      <c r="L22" s="561"/>
      <c r="M22" s="561"/>
      <c r="N22" s="561"/>
      <c r="O22" s="561"/>
    </row>
    <row r="23" spans="1:18" ht="39" customHeight="1">
      <c r="A23" s="582" t="s">
        <v>223</v>
      </c>
      <c r="B23" s="583"/>
      <c r="C23" s="583"/>
      <c r="D23" s="583"/>
      <c r="E23" s="583"/>
      <c r="F23" s="583"/>
      <c r="G23" s="583"/>
      <c r="H23" s="583"/>
      <c r="I23" s="583"/>
      <c r="J23" s="583"/>
      <c r="K23" s="583"/>
      <c r="L23" s="583"/>
      <c r="M23" s="583"/>
      <c r="N23" s="583"/>
      <c r="O23" s="583"/>
      <c r="P23" s="583"/>
      <c r="Q23" s="583"/>
      <c r="R23" s="583"/>
    </row>
    <row r="24" spans="1:18" ht="5.25" customHeight="1">
      <c r="A24" s="563"/>
      <c r="B24" s="564"/>
      <c r="C24" s="564"/>
      <c r="D24" s="564"/>
      <c r="E24" s="564"/>
      <c r="F24" s="564"/>
      <c r="G24" s="564"/>
      <c r="H24" s="564"/>
      <c r="I24" s="564"/>
      <c r="J24" s="564"/>
      <c r="K24" s="564"/>
      <c r="L24" s="564"/>
      <c r="M24" s="564"/>
      <c r="N24" s="564"/>
      <c r="O24" s="564"/>
      <c r="P24" s="564"/>
      <c r="Q24" s="564"/>
      <c r="R24" s="564"/>
    </row>
    <row r="25" spans="1:18">
      <c r="A25" s="582" t="s">
        <v>227</v>
      </c>
      <c r="B25" s="583"/>
      <c r="C25" s="583"/>
      <c r="D25" s="583"/>
      <c r="E25" s="583"/>
      <c r="F25" s="583"/>
      <c r="G25" s="583"/>
      <c r="H25" s="583"/>
      <c r="I25" s="583"/>
      <c r="J25" s="583"/>
      <c r="K25" s="583"/>
      <c r="L25" s="583"/>
      <c r="M25" s="583"/>
      <c r="N25" s="583"/>
      <c r="O25" s="583"/>
      <c r="P25" s="583"/>
      <c r="Q25" s="583"/>
      <c r="R25" s="583"/>
    </row>
    <row r="26" spans="1:18" ht="5.25" customHeight="1">
      <c r="A26" s="570"/>
      <c r="B26" s="571"/>
      <c r="C26" s="571"/>
      <c r="D26" s="571"/>
      <c r="E26" s="571"/>
      <c r="F26" s="571"/>
      <c r="G26" s="571"/>
      <c r="H26" s="571"/>
      <c r="I26" s="571"/>
      <c r="J26" s="571"/>
      <c r="K26" s="571"/>
      <c r="L26" s="571"/>
      <c r="M26" s="571"/>
      <c r="N26" s="571"/>
      <c r="O26" s="571"/>
      <c r="P26" s="571"/>
      <c r="Q26" s="571"/>
      <c r="R26" s="571"/>
    </row>
    <row r="27" spans="1:18" s="565" customFormat="1" ht="66" customHeight="1">
      <c r="A27" s="580" t="s">
        <v>245</v>
      </c>
      <c r="B27" s="581"/>
      <c r="C27" s="581"/>
      <c r="D27" s="581"/>
      <c r="E27" s="581"/>
      <c r="F27" s="581"/>
      <c r="G27" s="581"/>
      <c r="H27" s="581"/>
      <c r="I27" s="581"/>
      <c r="J27" s="581"/>
      <c r="K27" s="581"/>
      <c r="L27" s="581"/>
      <c r="M27" s="581"/>
      <c r="N27" s="581"/>
      <c r="O27" s="581"/>
      <c r="P27" s="581"/>
      <c r="Q27" s="581"/>
      <c r="R27" s="581"/>
    </row>
    <row r="28" spans="1:18" s="565" customFormat="1">
      <c r="A28" s="563"/>
      <c r="B28" s="564"/>
      <c r="C28" s="564"/>
      <c r="D28" s="564"/>
      <c r="E28" s="564"/>
      <c r="F28" s="564"/>
      <c r="G28" s="564"/>
      <c r="H28" s="564"/>
      <c r="I28" s="564"/>
      <c r="J28" s="564"/>
      <c r="K28" s="564"/>
      <c r="L28" s="564"/>
      <c r="M28" s="564"/>
      <c r="N28" s="564"/>
      <c r="O28" s="564"/>
      <c r="P28" s="564"/>
      <c r="Q28" s="564"/>
      <c r="R28" s="564"/>
    </row>
    <row r="29" spans="1:18" ht="59.25" customHeight="1">
      <c r="A29" s="582"/>
      <c r="B29" s="583"/>
      <c r="C29" s="583"/>
      <c r="D29" s="583"/>
      <c r="E29" s="583"/>
      <c r="F29" s="583"/>
      <c r="G29" s="583"/>
      <c r="H29" s="583"/>
      <c r="I29" s="583"/>
      <c r="J29" s="583"/>
      <c r="K29" s="583"/>
      <c r="L29" s="583"/>
      <c r="M29" s="583"/>
      <c r="N29" s="583"/>
      <c r="O29" s="583"/>
      <c r="P29" s="583"/>
      <c r="Q29" s="583"/>
      <c r="R29" s="583"/>
    </row>
    <row r="30" spans="1:18">
      <c r="A30" s="560"/>
      <c r="B30" s="561"/>
      <c r="C30" s="561"/>
      <c r="D30" s="561"/>
      <c r="E30" s="561"/>
      <c r="F30" s="561"/>
      <c r="G30" s="561"/>
      <c r="H30" s="561"/>
      <c r="I30" s="561"/>
      <c r="J30" s="561"/>
      <c r="K30" s="561"/>
      <c r="L30" s="561"/>
      <c r="M30" s="561"/>
      <c r="N30" s="561"/>
      <c r="O30" s="561"/>
      <c r="P30" s="561"/>
      <c r="Q30" s="561"/>
      <c r="R30" s="561"/>
    </row>
  </sheetData>
  <mergeCells count="10">
    <mergeCell ref="A27:R27"/>
    <mergeCell ref="A29:R29"/>
    <mergeCell ref="A23:R23"/>
    <mergeCell ref="A7:R7"/>
    <mergeCell ref="A19:R19"/>
    <mergeCell ref="A21:R21"/>
    <mergeCell ref="A13:R13"/>
    <mergeCell ref="A14:R14"/>
    <mergeCell ref="A9:R9"/>
    <mergeCell ref="A25:R25"/>
  </mergeCells>
  <phoneticPr fontId="14" type="noConversion"/>
  <pageMargins left="0.7" right="0.7" top="0.25" bottom="0.44" header="0.3" footer="0.3"/>
  <pageSetup scale="65" orientation="landscape" r:id="rId1"/>
  <headerFooter>
    <oddFooter>&amp;LActivision Blizzard, Inc.&amp;R&amp;P of &amp; 17</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59"/>
  <sheetViews>
    <sheetView view="pageBreakPreview" topLeftCell="A6" zoomScale="80" zoomScaleNormal="100" zoomScaleSheetLayoutView="80" workbookViewId="0">
      <selection activeCell="B52" sqref="B52"/>
    </sheetView>
  </sheetViews>
  <sheetFormatPr defaultRowHeight="12"/>
  <cols>
    <col min="1" max="1" width="1.7109375" style="71" customWidth="1"/>
    <col min="2" max="2" width="2.7109375" style="71" customWidth="1"/>
    <col min="3" max="3" width="2.85546875" style="71" customWidth="1"/>
    <col min="4" max="4" width="34.85546875" style="71" customWidth="1"/>
    <col min="5" max="5" width="52.140625" style="71" customWidth="1"/>
    <col min="6" max="8" width="16.7109375" style="71" customWidth="1"/>
    <col min="9" max="9" width="15.28515625" style="71" customWidth="1"/>
    <col min="10" max="16384" width="9.140625" style="71"/>
  </cols>
  <sheetData>
    <row r="1" spans="2:9" ht="15" customHeight="1">
      <c r="B1" s="592" t="s">
        <v>163</v>
      </c>
      <c r="C1" s="592"/>
      <c r="D1" s="592"/>
      <c r="E1" s="592"/>
      <c r="F1" s="592"/>
      <c r="G1" s="592"/>
      <c r="H1" s="592"/>
      <c r="I1" s="592"/>
    </row>
    <row r="2" spans="2:9" ht="15" customHeight="1">
      <c r="B2" s="592" t="s">
        <v>291</v>
      </c>
      <c r="C2" s="592"/>
      <c r="D2" s="592"/>
      <c r="E2" s="592"/>
      <c r="F2" s="592"/>
      <c r="G2" s="592"/>
      <c r="H2" s="592"/>
      <c r="I2" s="592"/>
    </row>
    <row r="3" spans="2:9" ht="15" customHeight="1">
      <c r="B3" s="592" t="s">
        <v>77</v>
      </c>
      <c r="C3" s="592"/>
      <c r="D3" s="592"/>
      <c r="E3" s="592"/>
      <c r="F3" s="592"/>
      <c r="G3" s="592"/>
      <c r="H3" s="592"/>
      <c r="I3" s="592"/>
    </row>
    <row r="4" spans="2:9">
      <c r="B4" s="72"/>
      <c r="C4" s="72"/>
      <c r="D4" s="72"/>
      <c r="E4" s="72"/>
      <c r="F4" s="72"/>
      <c r="G4" s="72"/>
      <c r="H4" s="72"/>
      <c r="I4" s="72"/>
    </row>
    <row r="5" spans="2:9">
      <c r="B5" s="72"/>
      <c r="C5" s="72"/>
      <c r="E5" s="72"/>
      <c r="F5" s="72"/>
      <c r="G5" s="72"/>
      <c r="H5" s="72"/>
      <c r="I5" s="72"/>
    </row>
    <row r="6" spans="2:9" ht="15.75" customHeight="1" thickBot="1">
      <c r="B6" s="73"/>
      <c r="C6" s="73"/>
      <c r="D6" s="73"/>
      <c r="E6" s="74"/>
      <c r="F6" s="594" t="s">
        <v>164</v>
      </c>
      <c r="G6" s="594"/>
      <c r="H6" s="594"/>
      <c r="I6" s="594"/>
    </row>
    <row r="7" spans="2:9" ht="12.75" thickBot="1">
      <c r="B7" s="73"/>
      <c r="C7" s="73"/>
      <c r="D7" s="73"/>
      <c r="E7" s="74"/>
      <c r="F7" s="75">
        <v>2012</v>
      </c>
      <c r="G7" s="75">
        <v>2011</v>
      </c>
      <c r="H7" s="75">
        <v>2010</v>
      </c>
      <c r="I7" s="75">
        <v>2009</v>
      </c>
    </row>
    <row r="8" spans="2:9">
      <c r="B8" s="76" t="s">
        <v>165</v>
      </c>
      <c r="C8" s="76"/>
      <c r="D8" s="76"/>
      <c r="E8" s="72"/>
      <c r="F8" s="72"/>
      <c r="G8" s="72"/>
      <c r="H8" s="72"/>
      <c r="I8" s="72"/>
    </row>
    <row r="9" spans="2:9">
      <c r="B9" s="72"/>
      <c r="C9" s="76" t="s">
        <v>255</v>
      </c>
      <c r="D9" s="76"/>
      <c r="E9" s="72"/>
      <c r="F9" s="77">
        <v>1149</v>
      </c>
      <c r="G9" s="77">
        <v>1085</v>
      </c>
      <c r="H9" s="77">
        <v>418</v>
      </c>
      <c r="I9" s="78">
        <v>113</v>
      </c>
    </row>
    <row r="10" spans="2:9">
      <c r="B10" s="72"/>
      <c r="C10" s="76" t="s">
        <v>166</v>
      </c>
      <c r="D10" s="76"/>
      <c r="E10" s="72"/>
      <c r="F10" s="72"/>
      <c r="G10" s="72"/>
      <c r="H10" s="72"/>
      <c r="I10" s="79"/>
    </row>
    <row r="11" spans="2:9">
      <c r="B11" s="72"/>
      <c r="C11" s="72"/>
      <c r="D11" s="72" t="s">
        <v>74</v>
      </c>
      <c r="E11" s="72"/>
      <c r="F11" s="80">
        <v>-10</v>
      </c>
      <c r="G11" s="80">
        <v>75</v>
      </c>
      <c r="H11" s="80">
        <v>-278</v>
      </c>
      <c r="I11" s="81">
        <v>-256</v>
      </c>
    </row>
    <row r="12" spans="2:9">
      <c r="B12" s="72"/>
      <c r="C12" s="72"/>
      <c r="D12" s="72" t="s">
        <v>246</v>
      </c>
      <c r="E12" s="72"/>
      <c r="F12" s="80">
        <v>0</v>
      </c>
      <c r="G12" s="80">
        <v>12</v>
      </c>
      <c r="H12" s="80">
        <v>326</v>
      </c>
      <c r="I12" s="81">
        <v>409</v>
      </c>
    </row>
    <row r="13" spans="2:9">
      <c r="B13" s="72"/>
      <c r="C13" s="72"/>
      <c r="D13" s="72" t="s">
        <v>167</v>
      </c>
      <c r="E13" s="72"/>
      <c r="F13" s="80">
        <v>120</v>
      </c>
      <c r="G13" s="80">
        <v>148</v>
      </c>
      <c r="H13" s="80">
        <v>198</v>
      </c>
      <c r="I13" s="81">
        <v>347</v>
      </c>
    </row>
    <row r="14" spans="2:9">
      <c r="B14" s="72"/>
      <c r="C14" s="72"/>
      <c r="D14" s="72" t="s">
        <v>168</v>
      </c>
      <c r="E14" s="72"/>
      <c r="F14" s="80">
        <v>1</v>
      </c>
      <c r="G14" s="80">
        <v>4</v>
      </c>
      <c r="H14" s="80">
        <v>1</v>
      </c>
      <c r="I14" s="81">
        <v>2</v>
      </c>
    </row>
    <row r="15" spans="2:9">
      <c r="B15" s="72"/>
      <c r="C15" s="72"/>
      <c r="D15" s="72" t="s">
        <v>169</v>
      </c>
      <c r="E15" s="72"/>
      <c r="F15" s="80">
        <v>208</v>
      </c>
      <c r="G15" s="80">
        <v>287</v>
      </c>
      <c r="H15" s="80">
        <v>319</v>
      </c>
      <c r="I15" s="81">
        <v>281</v>
      </c>
    </row>
    <row r="16" spans="2:9">
      <c r="B16" s="72"/>
      <c r="C16" s="72"/>
      <c r="D16" s="72" t="s">
        <v>170</v>
      </c>
      <c r="E16" s="72"/>
      <c r="F16" s="80">
        <v>126</v>
      </c>
      <c r="G16" s="80">
        <v>103</v>
      </c>
      <c r="H16" s="80">
        <v>131</v>
      </c>
      <c r="I16" s="81">
        <v>156</v>
      </c>
    </row>
    <row r="17" spans="2:9">
      <c r="B17" s="72"/>
      <c r="C17" s="72"/>
      <c r="D17" s="72" t="s">
        <v>171</v>
      </c>
      <c r="E17" s="72"/>
      <c r="F17" s="80">
        <v>-5</v>
      </c>
      <c r="G17" s="80">
        <v>-24</v>
      </c>
      <c r="H17" s="80">
        <v>-22</v>
      </c>
      <c r="I17" s="81">
        <v>-79</v>
      </c>
    </row>
    <row r="18" spans="2:9">
      <c r="B18" s="72"/>
      <c r="C18" s="76" t="s">
        <v>172</v>
      </c>
      <c r="D18" s="76"/>
      <c r="E18" s="72"/>
      <c r="F18" s="80"/>
      <c r="G18" s="80"/>
      <c r="H18" s="80"/>
      <c r="I18" s="81"/>
    </row>
    <row r="19" spans="2:9">
      <c r="B19" s="72"/>
      <c r="C19" s="72"/>
      <c r="D19" s="72" t="s">
        <v>269</v>
      </c>
      <c r="E19" s="72"/>
      <c r="F19" s="80">
        <v>-46</v>
      </c>
      <c r="G19" s="80">
        <v>13</v>
      </c>
      <c r="H19" s="80">
        <v>43</v>
      </c>
      <c r="I19" s="81">
        <v>235</v>
      </c>
    </row>
    <row r="20" spans="2:9">
      <c r="B20" s="72"/>
      <c r="C20" s="72"/>
      <c r="D20" s="72" t="s">
        <v>268</v>
      </c>
      <c r="E20" s="72"/>
      <c r="F20" s="80">
        <v>-62</v>
      </c>
      <c r="G20" s="80">
        <v>-34</v>
      </c>
      <c r="H20" s="80">
        <v>124</v>
      </c>
      <c r="I20" s="81">
        <v>21</v>
      </c>
    </row>
    <row r="21" spans="2:9">
      <c r="B21" s="72"/>
      <c r="C21" s="72"/>
      <c r="D21" s="72" t="s">
        <v>173</v>
      </c>
      <c r="E21" s="72"/>
      <c r="F21" s="80">
        <v>-301</v>
      </c>
      <c r="G21" s="80">
        <v>-254</v>
      </c>
      <c r="H21" s="80">
        <v>-313</v>
      </c>
      <c r="I21" s="81">
        <v>-308</v>
      </c>
    </row>
    <row r="22" spans="2:9">
      <c r="B22" s="72"/>
      <c r="C22" s="72"/>
      <c r="D22" s="72" t="s">
        <v>9</v>
      </c>
      <c r="E22" s="72"/>
      <c r="F22" s="80">
        <v>88</v>
      </c>
      <c r="G22" s="80">
        <v>-67</v>
      </c>
      <c r="H22" s="80">
        <v>17</v>
      </c>
      <c r="I22" s="81">
        <v>-110</v>
      </c>
    </row>
    <row r="23" spans="2:9">
      <c r="B23" s="72"/>
      <c r="C23" s="72"/>
      <c r="D23" s="72" t="s">
        <v>70</v>
      </c>
      <c r="E23" s="72"/>
      <c r="F23" s="80">
        <v>153</v>
      </c>
      <c r="G23" s="80">
        <v>-248</v>
      </c>
      <c r="H23" s="80">
        <v>293</v>
      </c>
      <c r="I23" s="81">
        <v>503</v>
      </c>
    </row>
    <row r="24" spans="2:9">
      <c r="B24" s="72"/>
      <c r="C24" s="72"/>
      <c r="D24" s="72" t="s">
        <v>69</v>
      </c>
      <c r="E24" s="72"/>
      <c r="F24" s="80">
        <v>-54</v>
      </c>
      <c r="G24" s="80">
        <v>31</v>
      </c>
      <c r="H24" s="80">
        <v>70</v>
      </c>
      <c r="I24" s="81">
        <v>-18</v>
      </c>
    </row>
    <row r="25" spans="2:9">
      <c r="B25" s="72"/>
      <c r="C25" s="72"/>
      <c r="D25" s="72" t="s">
        <v>71</v>
      </c>
      <c r="E25" s="72"/>
      <c r="F25" s="80">
        <v>-22</v>
      </c>
      <c r="G25" s="80">
        <v>-179</v>
      </c>
      <c r="H25" s="80">
        <v>49</v>
      </c>
      <c r="I25" s="81">
        <v>-113</v>
      </c>
    </row>
    <row r="26" spans="2:9">
      <c r="B26" s="76"/>
      <c r="C26" s="76"/>
      <c r="D26" s="76"/>
      <c r="E26" s="72"/>
      <c r="F26" s="381"/>
      <c r="G26" s="381"/>
      <c r="H26" s="381"/>
      <c r="I26" s="383"/>
    </row>
    <row r="27" spans="2:9">
      <c r="B27" s="72"/>
      <c r="C27" s="76" t="s">
        <v>174</v>
      </c>
      <c r="D27" s="76"/>
      <c r="E27" s="72"/>
      <c r="F27" s="384">
        <f>SUM(F9:F25)</f>
        <v>1345</v>
      </c>
      <c r="G27" s="384">
        <f>SUM(G9:G25)</f>
        <v>952</v>
      </c>
      <c r="H27" s="384">
        <f>SUM(H9:H25)</f>
        <v>1376</v>
      </c>
      <c r="I27" s="384">
        <f>SUM(I9:I25)</f>
        <v>1183</v>
      </c>
    </row>
    <row r="28" spans="2:9" s="83" customFormat="1">
      <c r="B28" s="82"/>
      <c r="C28" s="82"/>
      <c r="D28" s="82"/>
      <c r="E28" s="380"/>
      <c r="F28" s="381"/>
      <c r="G28" s="381"/>
      <c r="H28" s="381"/>
      <c r="I28" s="382"/>
    </row>
    <row r="29" spans="2:9">
      <c r="B29" s="76" t="s">
        <v>175</v>
      </c>
      <c r="C29" s="76"/>
      <c r="D29" s="76"/>
      <c r="E29" s="72"/>
      <c r="F29" s="80"/>
      <c r="G29" s="80"/>
      <c r="H29" s="80"/>
      <c r="I29" s="79"/>
    </row>
    <row r="30" spans="2:9">
      <c r="B30" s="72"/>
      <c r="C30" s="76" t="s">
        <v>254</v>
      </c>
      <c r="D30" s="76"/>
      <c r="E30" s="72"/>
      <c r="F30" s="80">
        <v>444</v>
      </c>
      <c r="G30" s="80">
        <v>740</v>
      </c>
      <c r="H30" s="80">
        <v>519</v>
      </c>
      <c r="I30" s="81">
        <v>44</v>
      </c>
    </row>
    <row r="31" spans="2:9">
      <c r="B31" s="72"/>
      <c r="C31" s="76" t="s">
        <v>263</v>
      </c>
      <c r="D31" s="76"/>
      <c r="E31" s="72"/>
      <c r="F31" s="81">
        <v>0</v>
      </c>
      <c r="G31" s="81" t="s">
        <v>176</v>
      </c>
      <c r="H31" s="80">
        <v>61</v>
      </c>
      <c r="I31" s="81" t="s">
        <v>176</v>
      </c>
    </row>
    <row r="32" spans="2:9">
      <c r="B32" s="72"/>
      <c r="C32" s="76" t="s">
        <v>177</v>
      </c>
      <c r="D32" s="76"/>
      <c r="E32" s="72"/>
      <c r="F32" s="81">
        <v>0</v>
      </c>
      <c r="G32" s="81" t="s">
        <v>176</v>
      </c>
      <c r="H32" s="81" t="s">
        <v>176</v>
      </c>
      <c r="I32" s="81">
        <v>2</v>
      </c>
    </row>
    <row r="33" spans="2:9">
      <c r="B33" s="72"/>
      <c r="C33" s="76" t="s">
        <v>264</v>
      </c>
      <c r="D33" s="76"/>
      <c r="E33" s="72"/>
      <c r="F33" s="81">
        <v>10</v>
      </c>
      <c r="G33" s="81">
        <v>10</v>
      </c>
      <c r="H33" s="81" t="s">
        <v>176</v>
      </c>
      <c r="I33" s="81" t="s">
        <v>176</v>
      </c>
    </row>
    <row r="34" spans="2:9">
      <c r="B34" s="72"/>
      <c r="C34" s="76" t="s">
        <v>178</v>
      </c>
      <c r="D34" s="76"/>
      <c r="E34" s="72"/>
      <c r="F34" s="81">
        <v>0</v>
      </c>
      <c r="G34" s="81">
        <v>-3</v>
      </c>
      <c r="H34" s="81">
        <v>-4</v>
      </c>
      <c r="I34" s="81" t="s">
        <v>176</v>
      </c>
    </row>
    <row r="35" spans="2:9">
      <c r="B35" s="72"/>
      <c r="C35" s="76" t="s">
        <v>179</v>
      </c>
      <c r="D35" s="76"/>
      <c r="E35" s="72"/>
      <c r="F35" s="81">
        <v>-503</v>
      </c>
      <c r="G35" s="81">
        <v>-417</v>
      </c>
      <c r="H35" s="81">
        <v>-800</v>
      </c>
      <c r="I35" s="81">
        <v>-425</v>
      </c>
    </row>
    <row r="36" spans="2:9">
      <c r="B36" s="72"/>
      <c r="C36" s="76" t="s">
        <v>11</v>
      </c>
      <c r="D36" s="76"/>
      <c r="E36" s="72"/>
      <c r="F36" s="81">
        <v>-73</v>
      </c>
      <c r="G36" s="81">
        <v>-72</v>
      </c>
      <c r="H36" s="81">
        <v>-97</v>
      </c>
      <c r="I36" s="81">
        <v>-69</v>
      </c>
    </row>
    <row r="37" spans="2:9">
      <c r="B37" s="72"/>
      <c r="C37" s="76" t="s">
        <v>300</v>
      </c>
      <c r="D37" s="76"/>
      <c r="E37" s="72"/>
      <c r="F37" s="80">
        <v>-2</v>
      </c>
      <c r="G37" s="80">
        <v>8</v>
      </c>
      <c r="H37" s="80">
        <v>9</v>
      </c>
      <c r="I37" s="81">
        <v>5</v>
      </c>
    </row>
    <row r="38" spans="2:9">
      <c r="B38" s="76"/>
      <c r="C38" s="76"/>
      <c r="D38" s="76"/>
      <c r="E38" s="72"/>
      <c r="F38" s="381"/>
      <c r="G38" s="381"/>
      <c r="H38" s="381"/>
      <c r="I38" s="383"/>
    </row>
    <row r="39" spans="2:9">
      <c r="B39" s="72"/>
      <c r="C39" s="76" t="s">
        <v>299</v>
      </c>
      <c r="D39" s="76"/>
      <c r="E39" s="72"/>
      <c r="F39" s="384">
        <f>SUM(F30:F37)</f>
        <v>-124</v>
      </c>
      <c r="G39" s="384">
        <f>SUM(G30:G37)</f>
        <v>266</v>
      </c>
      <c r="H39" s="384">
        <f>SUM(H30:H37)</f>
        <v>-312</v>
      </c>
      <c r="I39" s="384">
        <f>SUM(I30:I37)</f>
        <v>-443</v>
      </c>
    </row>
    <row r="40" spans="2:9">
      <c r="B40" s="76"/>
      <c r="C40" s="76"/>
      <c r="D40" s="76"/>
      <c r="E40" s="72"/>
      <c r="F40" s="381"/>
      <c r="G40" s="381"/>
      <c r="H40" s="381"/>
      <c r="I40" s="383"/>
    </row>
    <row r="41" spans="2:9">
      <c r="B41" s="76" t="s">
        <v>180</v>
      </c>
      <c r="C41" s="76"/>
      <c r="D41" s="76"/>
      <c r="E41" s="72"/>
      <c r="F41" s="385"/>
      <c r="G41" s="385"/>
      <c r="H41" s="385"/>
      <c r="I41" s="383"/>
    </row>
    <row r="42" spans="2:9">
      <c r="B42" s="72"/>
      <c r="C42" s="76" t="s">
        <v>181</v>
      </c>
      <c r="D42" s="76"/>
      <c r="E42" s="72"/>
      <c r="F42" s="80">
        <v>33</v>
      </c>
      <c r="G42" s="80">
        <v>69</v>
      </c>
      <c r="H42" s="80">
        <v>81</v>
      </c>
      <c r="I42" s="81">
        <v>88</v>
      </c>
    </row>
    <row r="43" spans="2:9">
      <c r="B43" s="72"/>
      <c r="C43" s="76" t="s">
        <v>284</v>
      </c>
      <c r="D43" s="76"/>
      <c r="E43" s="72"/>
      <c r="F43" s="80">
        <v>-16</v>
      </c>
      <c r="G43" s="80">
        <v>-15</v>
      </c>
      <c r="H43" s="80">
        <v>-8</v>
      </c>
      <c r="I43" s="81">
        <v>-7</v>
      </c>
    </row>
    <row r="44" spans="2:9">
      <c r="B44" s="72"/>
      <c r="C44" s="76" t="s">
        <v>182</v>
      </c>
      <c r="D44" s="76"/>
      <c r="E44" s="72"/>
      <c r="F44" s="81">
        <v>-315</v>
      </c>
      <c r="G44" s="81">
        <v>-692</v>
      </c>
      <c r="H44" s="81">
        <v>-959</v>
      </c>
      <c r="I44" s="81">
        <v>-1109</v>
      </c>
    </row>
    <row r="45" spans="2:9">
      <c r="B45" s="72"/>
      <c r="C45" s="76" t="s">
        <v>183</v>
      </c>
      <c r="D45" s="76"/>
      <c r="E45" s="72"/>
      <c r="F45" s="81">
        <v>-204</v>
      </c>
      <c r="G45" s="81">
        <v>-194</v>
      </c>
      <c r="H45" s="81">
        <v>-189</v>
      </c>
      <c r="I45" s="81" t="s">
        <v>176</v>
      </c>
    </row>
    <row r="46" spans="2:9">
      <c r="B46" s="72"/>
      <c r="C46" s="76" t="s">
        <v>171</v>
      </c>
      <c r="D46" s="76"/>
      <c r="E46" s="72"/>
      <c r="F46" s="81">
        <v>5</v>
      </c>
      <c r="G46" s="81">
        <v>24</v>
      </c>
      <c r="H46" s="81">
        <v>22</v>
      </c>
      <c r="I46" s="81">
        <v>79</v>
      </c>
    </row>
    <row r="47" spans="2:9">
      <c r="B47" s="76"/>
      <c r="C47" s="76"/>
      <c r="D47" s="76"/>
      <c r="E47" s="72"/>
      <c r="F47" s="386"/>
      <c r="G47" s="386"/>
      <c r="H47" s="386"/>
      <c r="I47" s="387"/>
    </row>
    <row r="48" spans="2:9">
      <c r="B48" s="72"/>
      <c r="C48" s="76" t="s">
        <v>298</v>
      </c>
      <c r="D48" s="76"/>
      <c r="E48" s="72"/>
      <c r="F48" s="384">
        <f>SUM(F42:F47)</f>
        <v>-497</v>
      </c>
      <c r="G48" s="384">
        <f>SUM(G42:G47)</f>
        <v>-808</v>
      </c>
      <c r="H48" s="384">
        <f>SUM(H42:H47)</f>
        <v>-1053</v>
      </c>
      <c r="I48" s="384">
        <f>SUM(I42:I47)</f>
        <v>-949</v>
      </c>
    </row>
    <row r="49" spans="2:9">
      <c r="B49" s="76"/>
      <c r="C49" s="76"/>
      <c r="D49" s="76"/>
      <c r="E49" s="72"/>
      <c r="F49" s="381"/>
      <c r="G49" s="381"/>
      <c r="H49" s="381"/>
      <c r="I49" s="383"/>
    </row>
    <row r="50" spans="2:9">
      <c r="B50" s="76" t="s">
        <v>184</v>
      </c>
      <c r="C50" s="76"/>
      <c r="D50" s="76"/>
      <c r="E50" s="72"/>
      <c r="F50" s="80">
        <v>70</v>
      </c>
      <c r="G50" s="80">
        <v>-57</v>
      </c>
      <c r="H50" s="80">
        <v>33</v>
      </c>
      <c r="I50" s="81">
        <v>19</v>
      </c>
    </row>
    <row r="51" spans="2:9">
      <c r="B51" s="76"/>
      <c r="C51" s="76"/>
      <c r="D51" s="76"/>
      <c r="E51" s="72"/>
      <c r="F51" s="386"/>
      <c r="G51" s="386"/>
      <c r="H51" s="386"/>
      <c r="I51" s="387"/>
    </row>
    <row r="52" spans="2:9">
      <c r="B52" s="76" t="s">
        <v>301</v>
      </c>
      <c r="C52" s="76"/>
      <c r="D52" s="76"/>
      <c r="E52" s="72"/>
      <c r="F52" s="80">
        <f>F27+F39+F48+F50</f>
        <v>794</v>
      </c>
      <c r="G52" s="80">
        <f>G27+G39+G48+G50</f>
        <v>353</v>
      </c>
      <c r="H52" s="80">
        <f>H27+H39+H48+H50</f>
        <v>44</v>
      </c>
      <c r="I52" s="80">
        <f>I27+I39+I48+I50</f>
        <v>-190</v>
      </c>
    </row>
    <row r="53" spans="2:9">
      <c r="B53" s="76" t="s">
        <v>185</v>
      </c>
      <c r="C53" s="76"/>
      <c r="D53" s="76"/>
      <c r="E53" s="72"/>
      <c r="F53" s="80">
        <f>G55</f>
        <v>3165</v>
      </c>
      <c r="G53" s="80">
        <f>H55</f>
        <v>2812</v>
      </c>
      <c r="H53" s="80">
        <f>I55</f>
        <v>2768</v>
      </c>
      <c r="I53" s="81">
        <v>2958</v>
      </c>
    </row>
    <row r="54" spans="2:9">
      <c r="B54" s="76"/>
      <c r="C54" s="76"/>
      <c r="D54" s="76"/>
      <c r="E54" s="72"/>
      <c r="F54" s="82"/>
      <c r="G54" s="82"/>
      <c r="H54" s="82"/>
      <c r="I54" s="382"/>
    </row>
    <row r="55" spans="2:9" ht="12.75" thickBot="1">
      <c r="B55" s="76" t="s">
        <v>186</v>
      </c>
      <c r="C55" s="76"/>
      <c r="D55" s="76"/>
      <c r="E55" s="72"/>
      <c r="F55" s="397">
        <f>F52+F53</f>
        <v>3959</v>
      </c>
      <c r="G55" s="397">
        <f>G52+G53</f>
        <v>3165</v>
      </c>
      <c r="H55" s="397">
        <f>H52+H53</f>
        <v>2812</v>
      </c>
      <c r="I55" s="397">
        <f>I52+I53</f>
        <v>2768</v>
      </c>
    </row>
    <row r="56" spans="2:9">
      <c r="B56" s="76"/>
      <c r="C56" s="76"/>
      <c r="D56" s="76"/>
      <c r="E56" s="72"/>
      <c r="F56" s="82"/>
      <c r="G56" s="82"/>
      <c r="H56" s="82"/>
      <c r="I56" s="82"/>
    </row>
    <row r="57" spans="2:9">
      <c r="E57" s="83"/>
      <c r="F57" s="83"/>
      <c r="G57" s="83"/>
      <c r="H57" s="83"/>
      <c r="I57" s="83"/>
    </row>
    <row r="58" spans="2:9">
      <c r="B58" s="394" t="s">
        <v>211</v>
      </c>
    </row>
    <row r="59" spans="2:9">
      <c r="B59" s="394" t="s">
        <v>212</v>
      </c>
    </row>
  </sheetData>
  <mergeCells count="4">
    <mergeCell ref="B1:I1"/>
    <mergeCell ref="B2:I2"/>
    <mergeCell ref="B3:I3"/>
    <mergeCell ref="F6:I6"/>
  </mergeCells>
  <pageMargins left="0.45" right="0.35" top="0.25" bottom="0.44" header="0.3" footer="0.3"/>
  <pageSetup scale="61" orientation="portrait" r:id="rId1"/>
  <headerFooter>
    <oddFooter>&amp;LActivision Blizzard, Inc.&amp;R&amp;P of &amp; 17</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74"/>
  <sheetViews>
    <sheetView showGridLines="0" view="pageBreakPreview" zoomScale="80" zoomScaleNormal="100" zoomScaleSheetLayoutView="80" workbookViewId="0"/>
  </sheetViews>
  <sheetFormatPr defaultRowHeight="12"/>
  <cols>
    <col min="1" max="1" width="2.85546875" style="84" customWidth="1"/>
    <col min="2" max="2" width="1.42578125" style="84" customWidth="1"/>
    <col min="3" max="3" width="58.28515625" style="84" customWidth="1"/>
    <col min="4" max="4" width="3.42578125" style="84" customWidth="1"/>
    <col min="5" max="5" width="11" style="84" customWidth="1"/>
    <col min="6" max="6" width="8.5703125" style="84" customWidth="1"/>
    <col min="7" max="7" width="8.28515625" style="84" customWidth="1"/>
    <col min="8" max="8" width="12.140625" style="84" customWidth="1"/>
    <col min="9" max="9" width="9.85546875" style="84" customWidth="1"/>
    <col min="10" max="10" width="11.5703125" style="84" bestFit="1" customWidth="1"/>
    <col min="11" max="11" width="9.140625" style="84" bestFit="1" customWidth="1"/>
    <col min="12" max="12" width="12.7109375" style="84" bestFit="1" customWidth="1"/>
    <col min="13" max="13" width="12.140625" style="84" bestFit="1" customWidth="1"/>
    <col min="14" max="14" width="12.7109375" style="84" customWidth="1"/>
    <col min="15" max="16384" width="9.140625" style="84"/>
  </cols>
  <sheetData>
    <row r="1" spans="2:14">
      <c r="B1" s="602" t="s">
        <v>76</v>
      </c>
      <c r="C1" s="602"/>
      <c r="D1" s="602"/>
      <c r="E1" s="602"/>
      <c r="F1" s="602"/>
      <c r="G1" s="602"/>
      <c r="H1" s="602"/>
      <c r="I1" s="602"/>
      <c r="J1" s="602"/>
      <c r="K1" s="602"/>
      <c r="L1" s="602"/>
      <c r="M1" s="602"/>
      <c r="N1" s="602"/>
    </row>
    <row r="2" spans="2:14">
      <c r="B2" s="602" t="s">
        <v>296</v>
      </c>
      <c r="C2" s="602"/>
      <c r="D2" s="602"/>
      <c r="E2" s="602"/>
      <c r="F2" s="602"/>
      <c r="G2" s="602"/>
      <c r="H2" s="602"/>
      <c r="I2" s="602"/>
      <c r="J2" s="602"/>
      <c r="K2" s="602"/>
      <c r="L2" s="602"/>
      <c r="M2" s="602"/>
      <c r="N2" s="602"/>
    </row>
    <row r="3" spans="2:14">
      <c r="B3" s="602" t="s">
        <v>110</v>
      </c>
      <c r="C3" s="602"/>
      <c r="D3" s="602"/>
      <c r="E3" s="602"/>
      <c r="F3" s="602"/>
      <c r="G3" s="602"/>
      <c r="H3" s="602"/>
      <c r="I3" s="602"/>
      <c r="J3" s="602"/>
      <c r="K3" s="602"/>
      <c r="L3" s="602"/>
      <c r="M3" s="602"/>
      <c r="N3" s="602"/>
    </row>
    <row r="4" spans="2:14">
      <c r="B4" s="573"/>
      <c r="C4" s="573"/>
      <c r="D4" s="573"/>
      <c r="E4" s="573"/>
      <c r="F4" s="573"/>
      <c r="G4" s="573"/>
      <c r="H4" s="573"/>
      <c r="I4" s="573"/>
      <c r="J4" s="573"/>
      <c r="K4" s="573"/>
      <c r="L4" s="573"/>
      <c r="M4" s="573"/>
    </row>
    <row r="5" spans="2:14" ht="12.75" thickBot="1">
      <c r="B5" s="86"/>
      <c r="C5" s="87"/>
      <c r="D5" s="88"/>
      <c r="E5" s="87"/>
      <c r="F5" s="87"/>
      <c r="G5" s="88"/>
      <c r="H5" s="88"/>
      <c r="I5" s="88"/>
      <c r="J5" s="88"/>
      <c r="K5" s="89"/>
      <c r="L5" s="89"/>
      <c r="M5" s="89"/>
    </row>
    <row r="6" spans="2:14" ht="60">
      <c r="B6" s="180" t="s">
        <v>267</v>
      </c>
      <c r="C6" s="181"/>
      <c r="D6" s="182"/>
      <c r="E6" s="91" t="s">
        <v>111</v>
      </c>
      <c r="F6" s="91" t="s">
        <v>112</v>
      </c>
      <c r="G6" s="91" t="s">
        <v>257</v>
      </c>
      <c r="H6" s="91" t="s">
        <v>113</v>
      </c>
      <c r="I6" s="91" t="s">
        <v>114</v>
      </c>
      <c r="J6" s="91" t="s">
        <v>115</v>
      </c>
      <c r="K6" s="91" t="s">
        <v>116</v>
      </c>
      <c r="L6" s="91" t="s">
        <v>117</v>
      </c>
      <c r="M6" s="92" t="s">
        <v>118</v>
      </c>
    </row>
    <row r="7" spans="2:14">
      <c r="B7" s="596" t="s">
        <v>119</v>
      </c>
      <c r="C7" s="597"/>
      <c r="D7" s="185"/>
      <c r="E7" s="123">
        <v>1172</v>
      </c>
      <c r="F7" s="123">
        <v>257</v>
      </c>
      <c r="G7" s="123">
        <f>59+10</f>
        <v>69</v>
      </c>
      <c r="H7" s="123">
        <v>31</v>
      </c>
      <c r="I7" s="123">
        <v>7</v>
      </c>
      <c r="J7" s="123">
        <f>124-10</f>
        <v>114</v>
      </c>
      <c r="K7" s="123">
        <v>79</v>
      </c>
      <c r="L7" s="123">
        <v>102</v>
      </c>
      <c r="M7" s="186">
        <f>SUM(F7:L7)</f>
        <v>659</v>
      </c>
    </row>
    <row r="8" spans="2:14" ht="12" customHeight="1">
      <c r="B8" s="98"/>
      <c r="C8" s="99" t="s">
        <v>54</v>
      </c>
      <c r="D8" s="122" t="s">
        <v>121</v>
      </c>
      <c r="E8" s="129">
        <v>-585</v>
      </c>
      <c r="F8" s="129">
        <v>-119</v>
      </c>
      <c r="G8" s="135">
        <v>0</v>
      </c>
      <c r="H8" s="129">
        <v>-18</v>
      </c>
      <c r="I8" s="129">
        <v>-1</v>
      </c>
      <c r="J8" s="135">
        <v>0</v>
      </c>
      <c r="K8" s="135">
        <v>0</v>
      </c>
      <c r="L8" s="135">
        <v>0</v>
      </c>
      <c r="M8" s="187">
        <f>SUM(F8:L8)</f>
        <v>-138</v>
      </c>
    </row>
    <row r="9" spans="2:14">
      <c r="B9" s="98"/>
      <c r="C9" s="99" t="s">
        <v>55</v>
      </c>
      <c r="D9" s="122" t="s">
        <v>122</v>
      </c>
      <c r="E9" s="188">
        <v>0</v>
      </c>
      <c r="F9" s="135">
        <v>0</v>
      </c>
      <c r="G9" s="135">
        <v>0</v>
      </c>
      <c r="H9" s="135">
        <v>-3</v>
      </c>
      <c r="I9" s="135">
        <v>0</v>
      </c>
      <c r="J9" s="129">
        <v>-4</v>
      </c>
      <c r="K9" s="129">
        <v>-2</v>
      </c>
      <c r="L9" s="129">
        <v>-12</v>
      </c>
      <c r="M9" s="187">
        <f>SUM(F9:L9)</f>
        <v>-21</v>
      </c>
    </row>
    <row r="10" spans="2:14">
      <c r="B10" s="98"/>
      <c r="C10" s="99" t="s">
        <v>150</v>
      </c>
      <c r="D10" s="122" t="s">
        <v>123</v>
      </c>
      <c r="E10" s="135">
        <v>0</v>
      </c>
      <c r="F10" s="135">
        <v>0</v>
      </c>
      <c r="G10" s="135">
        <v>0</v>
      </c>
      <c r="H10" s="135">
        <v>0</v>
      </c>
      <c r="I10" s="129">
        <v>-3</v>
      </c>
      <c r="J10" s="135">
        <v>0</v>
      </c>
      <c r="K10" s="135">
        <v>0</v>
      </c>
      <c r="L10" s="135">
        <v>0</v>
      </c>
      <c r="M10" s="187">
        <f>SUM(F10:L10)</f>
        <v>-3</v>
      </c>
    </row>
    <row r="11" spans="2:14" ht="12.75" thickBot="1">
      <c r="B11" s="598" t="s">
        <v>125</v>
      </c>
      <c r="C11" s="599"/>
      <c r="D11" s="214"/>
      <c r="E11" s="141">
        <f t="shared" ref="E11:M11" si="0">SUM(E7:E10)</f>
        <v>587</v>
      </c>
      <c r="F11" s="141">
        <f t="shared" si="0"/>
        <v>138</v>
      </c>
      <c r="G11" s="141">
        <f t="shared" si="0"/>
        <v>69</v>
      </c>
      <c r="H11" s="141">
        <f t="shared" si="0"/>
        <v>10</v>
      </c>
      <c r="I11" s="141">
        <f t="shared" si="0"/>
        <v>3</v>
      </c>
      <c r="J11" s="141">
        <f t="shared" si="0"/>
        <v>110</v>
      </c>
      <c r="K11" s="141">
        <f t="shared" si="0"/>
        <v>77</v>
      </c>
      <c r="L11" s="141">
        <f t="shared" si="0"/>
        <v>90</v>
      </c>
      <c r="M11" s="192">
        <f t="shared" si="0"/>
        <v>497</v>
      </c>
    </row>
    <row r="12" spans="2:14" ht="5.25" customHeight="1" thickTop="1" thickBot="1">
      <c r="B12" s="108"/>
      <c r="C12" s="109"/>
      <c r="D12" s="110"/>
      <c r="E12" s="109"/>
      <c r="F12" s="111"/>
      <c r="G12" s="111"/>
      <c r="H12" s="111"/>
      <c r="I12" s="111"/>
      <c r="J12" s="111"/>
      <c r="K12" s="111"/>
      <c r="L12" s="111"/>
      <c r="M12" s="112"/>
    </row>
    <row r="13" spans="2:14" ht="12.75" customHeight="1" thickBot="1">
      <c r="B13" s="113"/>
      <c r="C13" s="114"/>
      <c r="D13" s="115"/>
      <c r="E13" s="114"/>
      <c r="F13" s="114"/>
      <c r="G13" s="114"/>
      <c r="H13" s="114"/>
      <c r="I13" s="114"/>
      <c r="J13" s="114"/>
      <c r="K13" s="114"/>
      <c r="L13" s="114"/>
      <c r="M13" s="114"/>
    </row>
    <row r="14" spans="2:14" ht="48">
      <c r="B14" s="199" t="str">
        <f>B6</f>
        <v>Three Months Ended March 31, 2012</v>
      </c>
      <c r="C14" s="200"/>
      <c r="D14" s="116"/>
      <c r="E14" s="117" t="s">
        <v>132</v>
      </c>
      <c r="F14" s="117" t="s">
        <v>133</v>
      </c>
      <c r="G14" s="462" t="s">
        <v>134</v>
      </c>
      <c r="H14" s="463" t="s">
        <v>135</v>
      </c>
      <c r="I14" s="119"/>
      <c r="J14" s="120"/>
      <c r="K14" s="121"/>
      <c r="L14" s="113"/>
      <c r="M14" s="113"/>
    </row>
    <row r="15" spans="2:14">
      <c r="B15" s="596" t="s">
        <v>119</v>
      </c>
      <c r="C15" s="597"/>
      <c r="D15" s="122"/>
      <c r="E15" s="123">
        <f>E7-M7</f>
        <v>513</v>
      </c>
      <c r="F15" s="314">
        <v>384</v>
      </c>
      <c r="G15" s="464">
        <v>0.34</v>
      </c>
      <c r="H15" s="465">
        <v>0.33</v>
      </c>
      <c r="I15" s="126"/>
      <c r="J15" s="127"/>
      <c r="K15" s="121"/>
      <c r="L15" s="113"/>
      <c r="M15" s="113"/>
      <c r="N15" s="113"/>
    </row>
    <row r="16" spans="2:14" ht="12" customHeight="1">
      <c r="B16" s="98"/>
      <c r="C16" s="99" t="s">
        <v>54</v>
      </c>
      <c r="D16" s="122" t="s">
        <v>121</v>
      </c>
      <c r="E16" s="128">
        <f>E8-M8</f>
        <v>-447</v>
      </c>
      <c r="F16" s="316">
        <v>-335</v>
      </c>
      <c r="G16" s="466">
        <v>-0.28999999999999998</v>
      </c>
      <c r="H16" s="467">
        <v>-0.28999999999999998</v>
      </c>
      <c r="I16" s="126"/>
      <c r="J16" s="126"/>
      <c r="K16" s="126"/>
      <c r="L16" s="126"/>
      <c r="M16" s="126"/>
      <c r="N16" s="133"/>
    </row>
    <row r="17" spans="2:14">
      <c r="B17" s="98"/>
      <c r="C17" s="99" t="s">
        <v>55</v>
      </c>
      <c r="D17" s="122" t="s">
        <v>122</v>
      </c>
      <c r="E17" s="128">
        <f>E9-M9</f>
        <v>21</v>
      </c>
      <c r="F17" s="316">
        <v>16</v>
      </c>
      <c r="G17" s="466">
        <v>0.01</v>
      </c>
      <c r="H17" s="467">
        <v>0.01</v>
      </c>
      <c r="I17" s="132"/>
      <c r="J17" s="132"/>
      <c r="K17" s="133"/>
      <c r="L17" s="133"/>
      <c r="M17" s="133"/>
      <c r="N17" s="133"/>
    </row>
    <row r="18" spans="2:14">
      <c r="B18" s="98"/>
      <c r="C18" s="99" t="s">
        <v>150</v>
      </c>
      <c r="D18" s="122" t="s">
        <v>123</v>
      </c>
      <c r="E18" s="128">
        <f>E10-M10</f>
        <v>3</v>
      </c>
      <c r="F18" s="316">
        <v>2</v>
      </c>
      <c r="G18" s="574">
        <v>0</v>
      </c>
      <c r="H18" s="467">
        <v>0</v>
      </c>
      <c r="I18" s="137"/>
      <c r="J18" s="137"/>
      <c r="K18" s="138"/>
      <c r="L18" s="133"/>
      <c r="M18" s="133"/>
      <c r="N18" s="133"/>
    </row>
    <row r="19" spans="2:14" ht="12.75" thickBot="1">
      <c r="B19" s="598" t="s">
        <v>125</v>
      </c>
      <c r="C19" s="599"/>
      <c r="D19" s="140"/>
      <c r="E19" s="141">
        <f>SUM(E15:E18)</f>
        <v>90</v>
      </c>
      <c r="F19" s="141">
        <f>SUM(F15:F18)</f>
        <v>67</v>
      </c>
      <c r="G19" s="471">
        <v>0.06</v>
      </c>
      <c r="H19" s="472">
        <v>0.06</v>
      </c>
      <c r="I19" s="144"/>
      <c r="J19" s="114"/>
      <c r="K19" s="114"/>
      <c r="L19" s="114"/>
      <c r="M19" s="114"/>
      <c r="N19" s="114"/>
    </row>
    <row r="20" spans="2:14" ht="5.25" customHeight="1" thickTop="1" thickBot="1">
      <c r="B20" s="145"/>
      <c r="C20" s="146"/>
      <c r="D20" s="147"/>
      <c r="E20" s="148"/>
      <c r="F20" s="148"/>
      <c r="G20" s="148"/>
      <c r="H20" s="149"/>
      <c r="I20" s="113"/>
      <c r="J20" s="114"/>
      <c r="K20" s="114"/>
      <c r="L20" s="114"/>
      <c r="M20" s="114"/>
      <c r="N20" s="114"/>
    </row>
    <row r="21" spans="2:14" ht="12.75" thickBot="1">
      <c r="B21" s="113"/>
      <c r="C21" s="113"/>
      <c r="D21" s="179"/>
      <c r="E21" s="113"/>
      <c r="F21" s="113"/>
      <c r="G21" s="113"/>
      <c r="H21" s="113"/>
      <c r="I21" s="113"/>
      <c r="J21" s="114"/>
      <c r="K21" s="114"/>
      <c r="L21" s="114"/>
      <c r="M21" s="114"/>
      <c r="N21" s="114"/>
    </row>
    <row r="22" spans="2:14" ht="60">
      <c r="B22" s="180" t="s">
        <v>270</v>
      </c>
      <c r="C22" s="181"/>
      <c r="D22" s="182"/>
      <c r="E22" s="91" t="s">
        <v>111</v>
      </c>
      <c r="F22" s="91" t="s">
        <v>112</v>
      </c>
      <c r="G22" s="91" t="s">
        <v>257</v>
      </c>
      <c r="H22" s="91" t="s">
        <v>113</v>
      </c>
      <c r="I22" s="91" t="s">
        <v>114</v>
      </c>
      <c r="J22" s="91" t="s">
        <v>115</v>
      </c>
      <c r="K22" s="91" t="s">
        <v>116</v>
      </c>
      <c r="L22" s="91" t="s">
        <v>117</v>
      </c>
      <c r="M22" s="92" t="s">
        <v>118</v>
      </c>
    </row>
    <row r="23" spans="2:14">
      <c r="B23" s="596" t="s">
        <v>119</v>
      </c>
      <c r="C23" s="597"/>
      <c r="D23" s="185"/>
      <c r="E23" s="123">
        <v>1075</v>
      </c>
      <c r="F23" s="123">
        <v>229</v>
      </c>
      <c r="G23" s="123">
        <f>64+7</f>
        <v>71</v>
      </c>
      <c r="H23" s="123">
        <v>57</v>
      </c>
      <c r="I23" s="123">
        <v>20</v>
      </c>
      <c r="J23" s="123">
        <f>152-7</f>
        <v>145</v>
      </c>
      <c r="K23" s="123">
        <v>136</v>
      </c>
      <c r="L23" s="123">
        <v>190</v>
      </c>
      <c r="M23" s="186">
        <f>SUM(F23:L23)</f>
        <v>848</v>
      </c>
    </row>
    <row r="24" spans="2:14" ht="12" customHeight="1">
      <c r="B24" s="98"/>
      <c r="C24" s="99" t="s">
        <v>54</v>
      </c>
      <c r="D24" s="122" t="s">
        <v>121</v>
      </c>
      <c r="E24" s="129">
        <v>-21</v>
      </c>
      <c r="F24" s="129">
        <v>-61</v>
      </c>
      <c r="G24" s="135">
        <v>0</v>
      </c>
      <c r="H24" s="135">
        <v>0</v>
      </c>
      <c r="I24" s="135">
        <v>0</v>
      </c>
      <c r="J24" s="135">
        <v>0</v>
      </c>
      <c r="K24" s="135">
        <v>0</v>
      </c>
      <c r="L24" s="135">
        <v>0</v>
      </c>
      <c r="M24" s="187">
        <f>SUM(F24:L24)</f>
        <v>-61</v>
      </c>
    </row>
    <row r="25" spans="2:14">
      <c r="B25" s="98"/>
      <c r="C25" s="99" t="s">
        <v>55</v>
      </c>
      <c r="D25" s="122" t="s">
        <v>122</v>
      </c>
      <c r="E25" s="188">
        <v>0</v>
      </c>
      <c r="F25" s="135">
        <v>0</v>
      </c>
      <c r="G25" s="135">
        <v>0</v>
      </c>
      <c r="H25" s="135">
        <v>-3</v>
      </c>
      <c r="I25" s="135">
        <v>0</v>
      </c>
      <c r="J25" s="129">
        <v>-5</v>
      </c>
      <c r="K25" s="129">
        <v>-1</v>
      </c>
      <c r="L25" s="129">
        <v>-22</v>
      </c>
      <c r="M25" s="187">
        <f>SUM(F25:L25)</f>
        <v>-31</v>
      </c>
    </row>
    <row r="26" spans="2:14">
      <c r="B26" s="98"/>
      <c r="C26" s="99" t="s">
        <v>150</v>
      </c>
      <c r="D26" s="122" t="s">
        <v>123</v>
      </c>
      <c r="E26" s="135">
        <v>0</v>
      </c>
      <c r="F26" s="135">
        <v>0</v>
      </c>
      <c r="G26" s="135">
        <v>0</v>
      </c>
      <c r="H26" s="135">
        <v>0</v>
      </c>
      <c r="I26" s="129">
        <v>-2</v>
      </c>
      <c r="J26" s="135">
        <v>0</v>
      </c>
      <c r="K26" s="135">
        <v>0</v>
      </c>
      <c r="L26" s="135">
        <v>0</v>
      </c>
      <c r="M26" s="187">
        <f>SUM(F26:L26)</f>
        <v>-2</v>
      </c>
    </row>
    <row r="27" spans="2:14" ht="12.75" thickBot="1">
      <c r="B27" s="598" t="s">
        <v>125</v>
      </c>
      <c r="C27" s="599"/>
      <c r="D27" s="214"/>
      <c r="E27" s="141">
        <f t="shared" ref="E27:M27" si="1">SUM(E23:E26)</f>
        <v>1054</v>
      </c>
      <c r="F27" s="141">
        <f t="shared" si="1"/>
        <v>168</v>
      </c>
      <c r="G27" s="141">
        <f t="shared" si="1"/>
        <v>71</v>
      </c>
      <c r="H27" s="141">
        <f t="shared" si="1"/>
        <v>54</v>
      </c>
      <c r="I27" s="141">
        <f t="shared" si="1"/>
        <v>18</v>
      </c>
      <c r="J27" s="141">
        <f t="shared" si="1"/>
        <v>140</v>
      </c>
      <c r="K27" s="141">
        <f t="shared" si="1"/>
        <v>135</v>
      </c>
      <c r="L27" s="141">
        <f t="shared" si="1"/>
        <v>168</v>
      </c>
      <c r="M27" s="192">
        <f t="shared" si="1"/>
        <v>754</v>
      </c>
    </row>
    <row r="28" spans="2:14" ht="5.25" customHeight="1" thickTop="1" thickBot="1">
      <c r="B28" s="108"/>
      <c r="C28" s="109"/>
      <c r="D28" s="110"/>
      <c r="E28" s="109"/>
      <c r="F28" s="111"/>
      <c r="G28" s="111"/>
      <c r="H28" s="111"/>
      <c r="I28" s="111"/>
      <c r="J28" s="111"/>
      <c r="K28" s="111"/>
      <c r="L28" s="111"/>
      <c r="M28" s="112"/>
    </row>
    <row r="29" spans="2:14" ht="12.75" customHeight="1" thickBot="1">
      <c r="B29" s="113"/>
      <c r="C29" s="114"/>
      <c r="D29" s="115"/>
      <c r="E29" s="114"/>
      <c r="F29" s="114"/>
      <c r="G29" s="114"/>
      <c r="H29" s="114"/>
      <c r="I29" s="114"/>
      <c r="J29" s="114"/>
      <c r="K29" s="114"/>
      <c r="L29" s="114"/>
      <c r="M29" s="114"/>
    </row>
    <row r="30" spans="2:14" ht="48">
      <c r="B30" s="199" t="str">
        <f>B22</f>
        <v>Three Months Ended June 30, 2012</v>
      </c>
      <c r="C30" s="200"/>
      <c r="D30" s="116"/>
      <c r="E30" s="117" t="s">
        <v>132</v>
      </c>
      <c r="F30" s="117" t="s">
        <v>133</v>
      </c>
      <c r="G30" s="462" t="s">
        <v>134</v>
      </c>
      <c r="H30" s="463" t="s">
        <v>135</v>
      </c>
      <c r="I30" s="119"/>
      <c r="J30" s="120"/>
      <c r="K30" s="121"/>
      <c r="L30" s="113"/>
      <c r="M30" s="113"/>
    </row>
    <row r="31" spans="2:14">
      <c r="B31" s="596" t="s">
        <v>119</v>
      </c>
      <c r="C31" s="597"/>
      <c r="D31" s="122"/>
      <c r="E31" s="123">
        <f>E23-M23</f>
        <v>227</v>
      </c>
      <c r="F31" s="314">
        <v>185</v>
      </c>
      <c r="G31" s="464">
        <v>0.16</v>
      </c>
      <c r="H31" s="465">
        <v>0.16</v>
      </c>
      <c r="I31" s="126"/>
      <c r="J31" s="127"/>
      <c r="K31" s="121"/>
      <c r="L31" s="113"/>
      <c r="M31" s="113"/>
      <c r="N31" s="113"/>
    </row>
    <row r="32" spans="2:14" ht="12" customHeight="1">
      <c r="B32" s="98"/>
      <c r="C32" s="99" t="s">
        <v>54</v>
      </c>
      <c r="D32" s="122" t="s">
        <v>121</v>
      </c>
      <c r="E32" s="128">
        <f>E24-M24</f>
        <v>40</v>
      </c>
      <c r="F32" s="316">
        <v>17</v>
      </c>
      <c r="G32" s="466">
        <v>0.02</v>
      </c>
      <c r="H32" s="467">
        <v>0.02</v>
      </c>
      <c r="I32" s="126"/>
      <c r="J32" s="126"/>
      <c r="K32" s="126"/>
      <c r="L32" s="126"/>
      <c r="M32" s="126"/>
      <c r="N32" s="133"/>
    </row>
    <row r="33" spans="2:14">
      <c r="B33" s="98"/>
      <c r="C33" s="99" t="s">
        <v>55</v>
      </c>
      <c r="D33" s="122" t="s">
        <v>122</v>
      </c>
      <c r="E33" s="128">
        <f>E25-M25</f>
        <v>31</v>
      </c>
      <c r="F33" s="316">
        <v>21</v>
      </c>
      <c r="G33" s="466">
        <v>0.02</v>
      </c>
      <c r="H33" s="577">
        <v>0.02</v>
      </c>
      <c r="I33" s="132"/>
      <c r="J33" s="132"/>
      <c r="K33" s="133"/>
      <c r="L33" s="133"/>
      <c r="M33" s="133"/>
      <c r="N33" s="133"/>
    </row>
    <row r="34" spans="2:14">
      <c r="B34" s="98"/>
      <c r="C34" s="99" t="s">
        <v>150</v>
      </c>
      <c r="D34" s="122" t="s">
        <v>123</v>
      </c>
      <c r="E34" s="128">
        <f>E26-M26</f>
        <v>2</v>
      </c>
      <c r="F34" s="316">
        <v>1</v>
      </c>
      <c r="G34" s="574">
        <v>0</v>
      </c>
      <c r="H34" s="467">
        <v>0</v>
      </c>
      <c r="I34" s="137"/>
      <c r="J34" s="137"/>
      <c r="K34" s="138"/>
      <c r="L34" s="133"/>
      <c r="M34" s="133"/>
      <c r="N34" s="133"/>
    </row>
    <row r="35" spans="2:14" ht="12.75" thickBot="1">
      <c r="B35" s="598" t="s">
        <v>125</v>
      </c>
      <c r="C35" s="599"/>
      <c r="D35" s="140"/>
      <c r="E35" s="141">
        <f>SUM(E31:E34)</f>
        <v>300</v>
      </c>
      <c r="F35" s="141">
        <f>SUM(F31:F34)</f>
        <v>224</v>
      </c>
      <c r="G35" s="471">
        <v>0.2</v>
      </c>
      <c r="H35" s="472">
        <v>0.2</v>
      </c>
      <c r="I35" s="144"/>
      <c r="J35" s="114"/>
      <c r="K35" s="114"/>
      <c r="L35" s="114"/>
      <c r="M35" s="114"/>
      <c r="N35" s="114"/>
    </row>
    <row r="36" spans="2:14" ht="5.25" customHeight="1" thickTop="1" thickBot="1">
      <c r="B36" s="145"/>
      <c r="C36" s="146"/>
      <c r="D36" s="147"/>
      <c r="E36" s="148"/>
      <c r="F36" s="148"/>
      <c r="G36" s="148"/>
      <c r="H36" s="149"/>
      <c r="I36" s="113"/>
      <c r="J36" s="114"/>
      <c r="K36" s="114"/>
      <c r="L36" s="114"/>
      <c r="M36" s="114"/>
      <c r="N36" s="114"/>
    </row>
    <row r="37" spans="2:14" ht="12.75" thickBot="1">
      <c r="B37" s="113"/>
      <c r="C37" s="113"/>
      <c r="D37" s="179"/>
      <c r="E37" s="113"/>
      <c r="F37" s="113"/>
      <c r="G37" s="113"/>
      <c r="H37" s="113"/>
      <c r="I37" s="113"/>
      <c r="J37" s="114"/>
      <c r="K37" s="114"/>
      <c r="L37" s="114"/>
      <c r="M37" s="114"/>
      <c r="N37" s="114"/>
    </row>
    <row r="38" spans="2:14" ht="60">
      <c r="B38" s="180" t="s">
        <v>276</v>
      </c>
      <c r="C38" s="181"/>
      <c r="D38" s="182"/>
      <c r="E38" s="91" t="s">
        <v>111</v>
      </c>
      <c r="F38" s="91" t="s">
        <v>112</v>
      </c>
      <c r="G38" s="91" t="s">
        <v>257</v>
      </c>
      <c r="H38" s="91" t="s">
        <v>113</v>
      </c>
      <c r="I38" s="91" t="s">
        <v>114</v>
      </c>
      <c r="J38" s="91" t="s">
        <v>115</v>
      </c>
      <c r="K38" s="91" t="s">
        <v>116</v>
      </c>
      <c r="L38" s="91" t="s">
        <v>117</v>
      </c>
      <c r="M38" s="92" t="s">
        <v>118</v>
      </c>
    </row>
    <row r="39" spans="2:14">
      <c r="B39" s="596" t="s">
        <v>119</v>
      </c>
      <c r="C39" s="597"/>
      <c r="D39" s="185"/>
      <c r="E39" s="123">
        <v>841</v>
      </c>
      <c r="F39" s="123">
        <v>146</v>
      </c>
      <c r="G39" s="123">
        <f>56+6</f>
        <v>62</v>
      </c>
      <c r="H39" s="123">
        <v>19</v>
      </c>
      <c r="I39" s="123">
        <v>10</v>
      </c>
      <c r="J39" s="123">
        <f>131-6</f>
        <v>125</v>
      </c>
      <c r="K39" s="123">
        <v>131</v>
      </c>
      <c r="L39" s="123">
        <v>121</v>
      </c>
      <c r="M39" s="186">
        <f>SUM(F39:L39)</f>
        <v>614</v>
      </c>
    </row>
    <row r="40" spans="2:14" ht="12" customHeight="1">
      <c r="B40" s="98"/>
      <c r="C40" s="99" t="s">
        <v>54</v>
      </c>
      <c r="D40" s="122" t="s">
        <v>121</v>
      </c>
      <c r="E40" s="129">
        <v>-90</v>
      </c>
      <c r="F40" s="129">
        <v>-5</v>
      </c>
      <c r="G40" s="135">
        <v>0</v>
      </c>
      <c r="H40" s="135">
        <v>23</v>
      </c>
      <c r="I40" s="135">
        <v>2</v>
      </c>
      <c r="J40" s="135">
        <v>0</v>
      </c>
      <c r="K40" s="135">
        <v>0</v>
      </c>
      <c r="L40" s="135">
        <v>0</v>
      </c>
      <c r="M40" s="187">
        <f>SUM(F40:L40)</f>
        <v>20</v>
      </c>
    </row>
    <row r="41" spans="2:14">
      <c r="B41" s="98"/>
      <c r="C41" s="99" t="s">
        <v>55</v>
      </c>
      <c r="D41" s="122" t="s">
        <v>122</v>
      </c>
      <c r="E41" s="188">
        <v>0</v>
      </c>
      <c r="F41" s="135">
        <v>0</v>
      </c>
      <c r="G41" s="135">
        <v>0</v>
      </c>
      <c r="H41" s="135">
        <v>-1</v>
      </c>
      <c r="I41" s="135">
        <v>0</v>
      </c>
      <c r="J41" s="129">
        <v>-5</v>
      </c>
      <c r="K41" s="129">
        <v>-2</v>
      </c>
      <c r="L41" s="129">
        <v>-26</v>
      </c>
      <c r="M41" s="187">
        <f>SUM(F41:L41)</f>
        <v>-34</v>
      </c>
    </row>
    <row r="42" spans="2:14">
      <c r="B42" s="98"/>
      <c r="C42" s="99" t="s">
        <v>150</v>
      </c>
      <c r="D42" s="122" t="s">
        <v>123</v>
      </c>
      <c r="E42" s="135">
        <v>0</v>
      </c>
      <c r="F42" s="135">
        <v>0</v>
      </c>
      <c r="G42" s="135">
        <v>0</v>
      </c>
      <c r="H42" s="135">
        <v>0</v>
      </c>
      <c r="I42" s="129">
        <v>-3</v>
      </c>
      <c r="J42" s="135">
        <v>0</v>
      </c>
      <c r="K42" s="135">
        <v>0</v>
      </c>
      <c r="L42" s="135">
        <v>0</v>
      </c>
      <c r="M42" s="187">
        <f>SUM(F42:L42)</f>
        <v>-3</v>
      </c>
    </row>
    <row r="43" spans="2:14" ht="12.75" thickBot="1">
      <c r="B43" s="598" t="s">
        <v>125</v>
      </c>
      <c r="C43" s="599"/>
      <c r="D43" s="214"/>
      <c r="E43" s="141">
        <f t="shared" ref="E43:M43" si="2">SUM(E39:E42)</f>
        <v>751</v>
      </c>
      <c r="F43" s="141">
        <f t="shared" si="2"/>
        <v>141</v>
      </c>
      <c r="G43" s="141">
        <f t="shared" si="2"/>
        <v>62</v>
      </c>
      <c r="H43" s="141">
        <f t="shared" si="2"/>
        <v>41</v>
      </c>
      <c r="I43" s="141">
        <f t="shared" si="2"/>
        <v>9</v>
      </c>
      <c r="J43" s="141">
        <f t="shared" si="2"/>
        <v>120</v>
      </c>
      <c r="K43" s="141">
        <f t="shared" si="2"/>
        <v>129</v>
      </c>
      <c r="L43" s="141">
        <f t="shared" si="2"/>
        <v>95</v>
      </c>
      <c r="M43" s="192">
        <f t="shared" si="2"/>
        <v>597</v>
      </c>
    </row>
    <row r="44" spans="2:14" ht="5.25" customHeight="1" thickTop="1" thickBot="1">
      <c r="B44" s="108"/>
      <c r="C44" s="109"/>
      <c r="D44" s="110"/>
      <c r="E44" s="109"/>
      <c r="F44" s="111"/>
      <c r="G44" s="111"/>
      <c r="H44" s="111"/>
      <c r="I44" s="111"/>
      <c r="J44" s="111"/>
      <c r="K44" s="111"/>
      <c r="L44" s="111"/>
      <c r="M44" s="112"/>
    </row>
    <row r="45" spans="2:14" ht="12.75" customHeight="1" thickBot="1">
      <c r="B45" s="113"/>
      <c r="C45" s="114"/>
      <c r="D45" s="115"/>
      <c r="E45" s="114"/>
      <c r="F45" s="114"/>
      <c r="G45" s="114"/>
      <c r="H45" s="114"/>
      <c r="I45" s="114"/>
      <c r="J45" s="114"/>
      <c r="K45" s="114"/>
      <c r="L45" s="114"/>
      <c r="M45" s="114"/>
    </row>
    <row r="46" spans="2:14" ht="48">
      <c r="B46" s="199" t="str">
        <f>B38</f>
        <v>Three Months Ended September 30, 2012</v>
      </c>
      <c r="C46" s="200"/>
      <c r="D46" s="116"/>
      <c r="E46" s="117" t="s">
        <v>132</v>
      </c>
      <c r="F46" s="117" t="s">
        <v>133</v>
      </c>
      <c r="G46" s="462" t="s">
        <v>134</v>
      </c>
      <c r="H46" s="463" t="s">
        <v>135</v>
      </c>
      <c r="I46" s="119"/>
      <c r="J46" s="120"/>
      <c r="K46" s="121"/>
      <c r="L46" s="113"/>
      <c r="M46" s="113"/>
    </row>
    <row r="47" spans="2:14">
      <c r="B47" s="596" t="s">
        <v>119</v>
      </c>
      <c r="C47" s="597"/>
      <c r="D47" s="122"/>
      <c r="E47" s="123">
        <f>E39-M39</f>
        <v>227</v>
      </c>
      <c r="F47" s="314">
        <v>226</v>
      </c>
      <c r="G47" s="464">
        <v>0.2</v>
      </c>
      <c r="H47" s="465">
        <v>0.2</v>
      </c>
      <c r="I47" s="126"/>
      <c r="J47" s="127"/>
      <c r="K47" s="121"/>
      <c r="L47" s="113"/>
      <c r="M47" s="113"/>
      <c r="N47" s="113"/>
    </row>
    <row r="48" spans="2:14" ht="12" customHeight="1">
      <c r="B48" s="98"/>
      <c r="C48" s="99" t="s">
        <v>54</v>
      </c>
      <c r="D48" s="122" t="s">
        <v>121</v>
      </c>
      <c r="E48" s="128">
        <f>E40-M40</f>
        <v>-110</v>
      </c>
      <c r="F48" s="316">
        <v>-83</v>
      </c>
      <c r="G48" s="466">
        <v>-7.0000000000000007E-2</v>
      </c>
      <c r="H48" s="467">
        <v>-7.0000000000000007E-2</v>
      </c>
      <c r="I48" s="126"/>
      <c r="J48" s="126"/>
      <c r="K48" s="126"/>
      <c r="L48" s="126"/>
      <c r="M48" s="126"/>
      <c r="N48" s="133"/>
    </row>
    <row r="49" spans="2:14">
      <c r="B49" s="98"/>
      <c r="C49" s="99" t="s">
        <v>55</v>
      </c>
      <c r="D49" s="122" t="s">
        <v>122</v>
      </c>
      <c r="E49" s="128">
        <f>E41-M41</f>
        <v>34</v>
      </c>
      <c r="F49" s="316">
        <v>23</v>
      </c>
      <c r="G49" s="466">
        <v>0.02</v>
      </c>
      <c r="H49" s="577">
        <v>0.02</v>
      </c>
      <c r="I49" s="132"/>
      <c r="J49" s="132"/>
      <c r="K49" s="133"/>
      <c r="L49" s="133"/>
      <c r="M49" s="133"/>
      <c r="N49" s="133"/>
    </row>
    <row r="50" spans="2:14">
      <c r="B50" s="98"/>
      <c r="C50" s="99" t="s">
        <v>150</v>
      </c>
      <c r="D50" s="122" t="s">
        <v>123</v>
      </c>
      <c r="E50" s="128">
        <f>E42-M42</f>
        <v>3</v>
      </c>
      <c r="F50" s="316">
        <v>2</v>
      </c>
      <c r="G50" s="574">
        <v>0</v>
      </c>
      <c r="H50" s="467">
        <v>0</v>
      </c>
      <c r="I50" s="137"/>
      <c r="J50" s="137"/>
      <c r="K50" s="138"/>
      <c r="L50" s="133"/>
      <c r="M50" s="133"/>
      <c r="N50" s="133"/>
    </row>
    <row r="51" spans="2:14" ht="12.75" thickBot="1">
      <c r="B51" s="598" t="s">
        <v>125</v>
      </c>
      <c r="C51" s="599"/>
      <c r="D51" s="140"/>
      <c r="E51" s="141">
        <f>SUM(E47:E50)</f>
        <v>154</v>
      </c>
      <c r="F51" s="141">
        <f>SUM(F47:F50)</f>
        <v>168</v>
      </c>
      <c r="G51" s="471">
        <v>0.15</v>
      </c>
      <c r="H51" s="472">
        <v>0.15</v>
      </c>
      <c r="I51" s="144"/>
      <c r="J51" s="114"/>
      <c r="K51" s="114"/>
      <c r="L51" s="114"/>
      <c r="M51" s="114"/>
      <c r="N51" s="114"/>
    </row>
    <row r="52" spans="2:14" ht="5.25" customHeight="1" thickTop="1" thickBot="1">
      <c r="B52" s="145"/>
      <c r="C52" s="146"/>
      <c r="D52" s="147"/>
      <c r="E52" s="148"/>
      <c r="F52" s="148"/>
      <c r="G52" s="148"/>
      <c r="H52" s="149"/>
      <c r="I52" s="113"/>
      <c r="J52" s="114"/>
      <c r="K52" s="114"/>
      <c r="L52" s="114"/>
      <c r="M52" s="114"/>
      <c r="N52" s="114"/>
    </row>
    <row r="53" spans="2:14" ht="12.75" thickBot="1">
      <c r="B53" s="113"/>
      <c r="C53" s="113"/>
      <c r="D53" s="179"/>
      <c r="E53" s="113"/>
      <c r="F53" s="113"/>
      <c r="G53" s="113"/>
      <c r="H53" s="113"/>
      <c r="I53" s="113"/>
      <c r="J53" s="114"/>
      <c r="K53" s="114"/>
      <c r="L53" s="114"/>
      <c r="M53" s="114"/>
      <c r="N53" s="114"/>
    </row>
    <row r="54" spans="2:14" ht="60">
      <c r="B54" s="180" t="s">
        <v>282</v>
      </c>
      <c r="C54" s="181"/>
      <c r="D54" s="182"/>
      <c r="E54" s="91" t="s">
        <v>111</v>
      </c>
      <c r="F54" s="91" t="s">
        <v>112</v>
      </c>
      <c r="G54" s="91" t="s">
        <v>257</v>
      </c>
      <c r="H54" s="91" t="s">
        <v>113</v>
      </c>
      <c r="I54" s="91" t="s">
        <v>114</v>
      </c>
      <c r="J54" s="91" t="s">
        <v>115</v>
      </c>
      <c r="K54" s="91" t="s">
        <v>116</v>
      </c>
      <c r="L54" s="91" t="s">
        <v>117</v>
      </c>
      <c r="M54" s="92" t="s">
        <v>118</v>
      </c>
    </row>
    <row r="55" spans="2:14">
      <c r="B55" s="596" t="s">
        <v>119</v>
      </c>
      <c r="C55" s="597"/>
      <c r="D55" s="185"/>
      <c r="E55" s="123">
        <v>1768</v>
      </c>
      <c r="F55" s="123">
        <v>483</v>
      </c>
      <c r="G55" s="123">
        <v>60</v>
      </c>
      <c r="H55" s="123">
        <v>87</v>
      </c>
      <c r="I55" s="123">
        <v>52</v>
      </c>
      <c r="J55" s="123">
        <v>222</v>
      </c>
      <c r="K55" s="123">
        <v>232</v>
      </c>
      <c r="L55" s="123">
        <v>148</v>
      </c>
      <c r="M55" s="186">
        <f>SUM(F55:L55)</f>
        <v>1284</v>
      </c>
    </row>
    <row r="56" spans="2:14" ht="12" customHeight="1">
      <c r="B56" s="98"/>
      <c r="C56" s="99" t="s">
        <v>54</v>
      </c>
      <c r="D56" s="122" t="s">
        <v>121</v>
      </c>
      <c r="E56" s="129">
        <v>827</v>
      </c>
      <c r="F56" s="129">
        <v>186</v>
      </c>
      <c r="G56" s="135">
        <v>0</v>
      </c>
      <c r="H56" s="135">
        <v>31</v>
      </c>
      <c r="I56" s="135">
        <v>3</v>
      </c>
      <c r="J56" s="135">
        <v>0</v>
      </c>
      <c r="K56" s="135">
        <v>0</v>
      </c>
      <c r="L56" s="135">
        <v>0</v>
      </c>
      <c r="M56" s="187">
        <f>SUM(F56:L56)</f>
        <v>220</v>
      </c>
    </row>
    <row r="57" spans="2:14">
      <c r="B57" s="98"/>
      <c r="C57" s="99" t="s">
        <v>55</v>
      </c>
      <c r="D57" s="122" t="s">
        <v>122</v>
      </c>
      <c r="E57" s="188">
        <v>0</v>
      </c>
      <c r="F57" s="135">
        <v>0</v>
      </c>
      <c r="G57" s="135">
        <v>0</v>
      </c>
      <c r="H57" s="135">
        <v>-3</v>
      </c>
      <c r="I57" s="135">
        <v>0</v>
      </c>
      <c r="J57" s="129">
        <v>-6</v>
      </c>
      <c r="K57" s="129">
        <v>-2</v>
      </c>
      <c r="L57" s="129">
        <v>-29</v>
      </c>
      <c r="M57" s="187">
        <f>SUM(F57:L57)</f>
        <v>-40</v>
      </c>
    </row>
    <row r="58" spans="2:14">
      <c r="B58" s="98"/>
      <c r="C58" s="99" t="s">
        <v>150</v>
      </c>
      <c r="D58" s="122" t="s">
        <v>123</v>
      </c>
      <c r="E58" s="135">
        <v>0</v>
      </c>
      <c r="F58" s="135">
        <v>0</v>
      </c>
      <c r="G58" s="135">
        <v>0</v>
      </c>
      <c r="H58" s="135">
        <v>0</v>
      </c>
      <c r="I58" s="129">
        <v>-23</v>
      </c>
      <c r="J58" s="135">
        <v>0</v>
      </c>
      <c r="K58" s="135">
        <v>0</v>
      </c>
      <c r="L58" s="135">
        <v>0</v>
      </c>
      <c r="M58" s="187">
        <f>SUM(F58:L58)</f>
        <v>-23</v>
      </c>
    </row>
    <row r="59" spans="2:14" ht="12.75" thickBot="1">
      <c r="B59" s="598" t="s">
        <v>125</v>
      </c>
      <c r="C59" s="599"/>
      <c r="D59" s="214"/>
      <c r="E59" s="141">
        <f t="shared" ref="E59:M59" si="3">SUM(E55:E58)</f>
        <v>2595</v>
      </c>
      <c r="F59" s="141">
        <f t="shared" si="3"/>
        <v>669</v>
      </c>
      <c r="G59" s="141">
        <f t="shared" si="3"/>
        <v>60</v>
      </c>
      <c r="H59" s="141">
        <f t="shared" si="3"/>
        <v>115</v>
      </c>
      <c r="I59" s="141">
        <f t="shared" si="3"/>
        <v>32</v>
      </c>
      <c r="J59" s="141">
        <f t="shared" si="3"/>
        <v>216</v>
      </c>
      <c r="K59" s="141">
        <f t="shared" si="3"/>
        <v>230</v>
      </c>
      <c r="L59" s="141">
        <f t="shared" si="3"/>
        <v>119</v>
      </c>
      <c r="M59" s="192">
        <f t="shared" si="3"/>
        <v>1441</v>
      </c>
    </row>
    <row r="60" spans="2:14" ht="5.25" customHeight="1" thickTop="1" thickBot="1">
      <c r="B60" s="108"/>
      <c r="C60" s="109"/>
      <c r="D60" s="110"/>
      <c r="E60" s="109"/>
      <c r="F60" s="111"/>
      <c r="G60" s="111"/>
      <c r="H60" s="111"/>
      <c r="I60" s="111"/>
      <c r="J60" s="111"/>
      <c r="K60" s="111"/>
      <c r="L60" s="111"/>
      <c r="M60" s="112"/>
    </row>
    <row r="61" spans="2:14" ht="12.75" customHeight="1" thickBot="1">
      <c r="B61" s="113"/>
      <c r="C61" s="114"/>
      <c r="D61" s="115"/>
      <c r="E61" s="114"/>
      <c r="F61" s="114"/>
      <c r="G61" s="114"/>
      <c r="H61" s="114"/>
      <c r="I61" s="114"/>
      <c r="J61" s="114"/>
      <c r="K61" s="114"/>
      <c r="L61" s="114"/>
      <c r="M61" s="114"/>
    </row>
    <row r="62" spans="2:14" ht="48">
      <c r="B62" s="199" t="str">
        <f>B54</f>
        <v>Three Months Ended December 31, 2012</v>
      </c>
      <c r="C62" s="200"/>
      <c r="D62" s="116"/>
      <c r="E62" s="117" t="s">
        <v>132</v>
      </c>
      <c r="F62" s="117" t="s">
        <v>133</v>
      </c>
      <c r="G62" s="462" t="s">
        <v>134</v>
      </c>
      <c r="H62" s="463" t="s">
        <v>135</v>
      </c>
      <c r="I62" s="119"/>
      <c r="J62" s="120"/>
      <c r="K62" s="121"/>
      <c r="L62" s="113"/>
      <c r="M62" s="113"/>
    </row>
    <row r="63" spans="2:14">
      <c r="B63" s="596" t="s">
        <v>119</v>
      </c>
      <c r="C63" s="597"/>
      <c r="D63" s="122"/>
      <c r="E63" s="123">
        <f>E55-M55</f>
        <v>484</v>
      </c>
      <c r="F63" s="314">
        <v>354</v>
      </c>
      <c r="G63" s="464">
        <v>0.31</v>
      </c>
      <c r="H63" s="465">
        <v>0.31</v>
      </c>
      <c r="I63" s="126"/>
      <c r="J63" s="127"/>
      <c r="K63" s="121"/>
      <c r="L63" s="113"/>
      <c r="M63" s="113"/>
      <c r="N63" s="113"/>
    </row>
    <row r="64" spans="2:14" ht="12" customHeight="1">
      <c r="B64" s="98"/>
      <c r="C64" s="99" t="s">
        <v>54</v>
      </c>
      <c r="D64" s="122" t="s">
        <v>121</v>
      </c>
      <c r="E64" s="128">
        <f>E56-M56</f>
        <v>607</v>
      </c>
      <c r="F64" s="316">
        <v>485</v>
      </c>
      <c r="G64" s="466">
        <v>0.43</v>
      </c>
      <c r="H64" s="467">
        <v>0.42</v>
      </c>
      <c r="I64" s="126"/>
      <c r="J64" s="126"/>
      <c r="K64" s="126"/>
      <c r="L64" s="126"/>
      <c r="M64" s="126"/>
      <c r="N64" s="133"/>
    </row>
    <row r="65" spans="2:14">
      <c r="B65" s="98"/>
      <c r="C65" s="99" t="s">
        <v>55</v>
      </c>
      <c r="D65" s="122" t="s">
        <v>122</v>
      </c>
      <c r="E65" s="128">
        <f>E57-M57</f>
        <v>40</v>
      </c>
      <c r="F65" s="316">
        <v>38</v>
      </c>
      <c r="G65" s="466">
        <v>0.03</v>
      </c>
      <c r="H65" s="577">
        <v>0.03</v>
      </c>
      <c r="I65" s="132"/>
      <c r="J65" s="132"/>
      <c r="K65" s="133"/>
      <c r="L65" s="133"/>
      <c r="M65" s="133"/>
      <c r="N65" s="133"/>
    </row>
    <row r="66" spans="2:14">
      <c r="B66" s="98"/>
      <c r="C66" s="99" t="s">
        <v>150</v>
      </c>
      <c r="D66" s="122" t="s">
        <v>123</v>
      </c>
      <c r="E66" s="128">
        <f>E58-M58</f>
        <v>23</v>
      </c>
      <c r="F66" s="316">
        <v>14</v>
      </c>
      <c r="G66" s="574">
        <v>0.01</v>
      </c>
      <c r="H66" s="467">
        <v>0.01</v>
      </c>
      <c r="I66" s="137"/>
      <c r="J66" s="137"/>
      <c r="K66" s="138"/>
      <c r="L66" s="133"/>
      <c r="M66" s="133"/>
      <c r="N66" s="133"/>
    </row>
    <row r="67" spans="2:14" ht="12.75" thickBot="1">
      <c r="B67" s="598" t="s">
        <v>125</v>
      </c>
      <c r="C67" s="599"/>
      <c r="D67" s="140"/>
      <c r="E67" s="141">
        <f>SUM(E63:E66)</f>
        <v>1154</v>
      </c>
      <c r="F67" s="141">
        <f>SUM(F63:F66)</f>
        <v>891</v>
      </c>
      <c r="G67" s="471">
        <v>0.78</v>
      </c>
      <c r="H67" s="472">
        <v>0.78</v>
      </c>
      <c r="I67" s="144"/>
      <c r="J67" s="114"/>
      <c r="K67" s="114"/>
      <c r="L67" s="114"/>
      <c r="M67" s="114"/>
      <c r="N67" s="114"/>
    </row>
    <row r="68" spans="2:14" ht="5.25" customHeight="1" thickTop="1" thickBot="1">
      <c r="B68" s="145"/>
      <c r="C68" s="146"/>
      <c r="D68" s="147"/>
      <c r="E68" s="148"/>
      <c r="F68" s="148"/>
      <c r="G68" s="148"/>
      <c r="H68" s="149"/>
      <c r="I68" s="113"/>
      <c r="J68" s="114"/>
      <c r="K68" s="114"/>
      <c r="L68" s="114"/>
      <c r="M68" s="114"/>
      <c r="N68" s="114"/>
    </row>
    <row r="69" spans="2:14">
      <c r="B69" s="113"/>
      <c r="C69" s="113"/>
      <c r="D69" s="179"/>
      <c r="E69" s="113"/>
      <c r="F69" s="113"/>
      <c r="G69" s="113"/>
      <c r="H69" s="113"/>
      <c r="I69" s="113"/>
      <c r="J69" s="114"/>
      <c r="K69" s="114"/>
      <c r="L69" s="114"/>
      <c r="M69" s="114"/>
      <c r="N69" s="114"/>
    </row>
    <row r="70" spans="2:14">
      <c r="B70" s="209"/>
      <c r="C70" s="601" t="s">
        <v>136</v>
      </c>
      <c r="D70" s="601"/>
      <c r="E70" s="601"/>
      <c r="F70" s="601"/>
      <c r="G70" s="601"/>
      <c r="H70" s="601"/>
      <c r="I70" s="601"/>
      <c r="J70" s="601"/>
      <c r="K70" s="601"/>
      <c r="L70" s="601"/>
      <c r="M70" s="601"/>
      <c r="N70" s="601"/>
    </row>
    <row r="71" spans="2:14">
      <c r="B71" s="209"/>
      <c r="C71" s="600" t="s">
        <v>137</v>
      </c>
      <c r="D71" s="600"/>
      <c r="E71" s="600"/>
      <c r="F71" s="600"/>
      <c r="G71" s="600"/>
      <c r="H71" s="600"/>
      <c r="I71" s="600"/>
      <c r="J71" s="600"/>
      <c r="K71" s="600"/>
      <c r="L71" s="600"/>
      <c r="M71" s="600"/>
      <c r="N71" s="600"/>
    </row>
    <row r="72" spans="2:14">
      <c r="B72" s="210"/>
      <c r="C72" s="601" t="s">
        <v>292</v>
      </c>
      <c r="D72" s="601"/>
      <c r="E72" s="601"/>
      <c r="F72" s="601"/>
      <c r="G72" s="601"/>
      <c r="H72" s="601"/>
      <c r="I72" s="601"/>
      <c r="J72" s="601"/>
      <c r="K72" s="601"/>
      <c r="L72" s="601"/>
      <c r="M72" s="601"/>
      <c r="N72" s="601"/>
    </row>
    <row r="73" spans="2:14">
      <c r="B73" s="210"/>
      <c r="C73" s="572"/>
      <c r="D73" s="216"/>
      <c r="E73" s="216"/>
      <c r="F73" s="216"/>
      <c r="G73" s="216"/>
      <c r="H73" s="216"/>
      <c r="I73" s="216"/>
      <c r="J73" s="216"/>
      <c r="K73" s="216"/>
      <c r="L73" s="216"/>
      <c r="M73" s="216"/>
      <c r="N73" s="216"/>
    </row>
    <row r="74" spans="2:14" ht="33.75" customHeight="1">
      <c r="B74" s="210"/>
      <c r="C74" s="595" t="s">
        <v>139</v>
      </c>
      <c r="D74" s="595"/>
      <c r="E74" s="595"/>
      <c r="F74" s="595"/>
      <c r="G74" s="595"/>
      <c r="H74" s="595"/>
      <c r="I74" s="595"/>
      <c r="J74" s="595"/>
      <c r="K74" s="595"/>
      <c r="L74" s="595"/>
      <c r="M74" s="595"/>
      <c r="N74" s="595"/>
    </row>
  </sheetData>
  <sheetProtection formatCells="0" formatColumns="0" formatRows="0" sort="0" autoFilter="0" pivotTables="0"/>
  <mergeCells count="23">
    <mergeCell ref="B1:N1"/>
    <mergeCell ref="B2:N2"/>
    <mergeCell ref="B3:N3"/>
    <mergeCell ref="B19:C19"/>
    <mergeCell ref="C70:N70"/>
    <mergeCell ref="B23:C23"/>
    <mergeCell ref="B27:C27"/>
    <mergeCell ref="B31:C31"/>
    <mergeCell ref="B35:C35"/>
    <mergeCell ref="B55:C55"/>
    <mergeCell ref="B59:C59"/>
    <mergeCell ref="B63:C63"/>
    <mergeCell ref="B67:C67"/>
    <mergeCell ref="C74:N74"/>
    <mergeCell ref="B7:C7"/>
    <mergeCell ref="B11:C11"/>
    <mergeCell ref="B15:C15"/>
    <mergeCell ref="C71:N71"/>
    <mergeCell ref="C72:N72"/>
    <mergeCell ref="B39:C39"/>
    <mergeCell ref="B43:C43"/>
    <mergeCell ref="B47:C47"/>
    <mergeCell ref="B51:C51"/>
  </mergeCells>
  <pageMargins left="0.7" right="0.7" top="0.25" bottom="0.44" header="0.3" footer="0.3"/>
  <pageSetup scale="48" orientation="landscape" r:id="rId1"/>
  <headerFooter>
    <oddFooter>&amp;LActivision Blizzard, Inc.&amp;R&amp;P of &amp; 17</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86"/>
  <sheetViews>
    <sheetView showGridLines="0" view="pageBreakPreview" zoomScale="80" zoomScaleNormal="100" zoomScaleSheetLayoutView="80" workbookViewId="0"/>
  </sheetViews>
  <sheetFormatPr defaultRowHeight="12"/>
  <cols>
    <col min="1" max="1" width="2.85546875" style="84" customWidth="1"/>
    <col min="2" max="2" width="1.42578125" style="84" customWidth="1"/>
    <col min="3" max="3" width="58.28515625" style="84" customWidth="1"/>
    <col min="4" max="4" width="2.85546875" style="84" customWidth="1"/>
    <col min="5" max="5" width="11" style="84" customWidth="1"/>
    <col min="6" max="6" width="8.5703125" style="84" customWidth="1"/>
    <col min="7" max="7" width="8.28515625" style="84" customWidth="1"/>
    <col min="8" max="8" width="12.140625" style="84" customWidth="1"/>
    <col min="9" max="9" width="9.85546875" style="84" customWidth="1"/>
    <col min="10" max="10" width="11.5703125" style="84" bestFit="1" customWidth="1"/>
    <col min="11" max="11" width="9.140625" style="84" bestFit="1" customWidth="1"/>
    <col min="12" max="12" width="12.7109375" style="84" bestFit="1" customWidth="1"/>
    <col min="13" max="13" width="12.140625" style="84" bestFit="1" customWidth="1"/>
    <col min="14" max="14" width="12.7109375" style="84" customWidth="1"/>
    <col min="15" max="16384" width="9.140625" style="84"/>
  </cols>
  <sheetData>
    <row r="1" spans="2:14">
      <c r="B1" s="602" t="s">
        <v>76</v>
      </c>
      <c r="C1" s="602"/>
      <c r="D1" s="602"/>
      <c r="E1" s="602"/>
      <c r="F1" s="602"/>
      <c r="G1" s="602"/>
      <c r="H1" s="602"/>
      <c r="I1" s="602"/>
      <c r="J1" s="602"/>
      <c r="K1" s="602"/>
      <c r="L1" s="602"/>
      <c r="M1" s="602"/>
      <c r="N1" s="602"/>
    </row>
    <row r="2" spans="2:14">
      <c r="B2" s="602" t="s">
        <v>296</v>
      </c>
      <c r="C2" s="602"/>
      <c r="D2" s="602"/>
      <c r="E2" s="602"/>
      <c r="F2" s="602"/>
      <c r="G2" s="602"/>
      <c r="H2" s="602"/>
      <c r="I2" s="602"/>
      <c r="J2" s="602"/>
      <c r="K2" s="602"/>
      <c r="L2" s="602"/>
      <c r="M2" s="602"/>
      <c r="N2" s="602"/>
    </row>
    <row r="3" spans="2:14">
      <c r="B3" s="602" t="s">
        <v>110</v>
      </c>
      <c r="C3" s="602"/>
      <c r="D3" s="602"/>
      <c r="E3" s="602"/>
      <c r="F3" s="602"/>
      <c r="G3" s="602"/>
      <c r="H3" s="602"/>
      <c r="I3" s="602"/>
      <c r="J3" s="602"/>
      <c r="K3" s="602"/>
      <c r="L3" s="602"/>
      <c r="M3" s="602"/>
      <c r="N3" s="602"/>
    </row>
    <row r="4" spans="2:14">
      <c r="B4" s="85"/>
      <c r="C4" s="85"/>
      <c r="D4" s="85"/>
      <c r="E4" s="85"/>
      <c r="F4" s="85"/>
      <c r="G4" s="85"/>
      <c r="H4" s="85"/>
      <c r="I4" s="85"/>
      <c r="J4" s="85"/>
      <c r="K4" s="85"/>
      <c r="L4" s="85"/>
      <c r="M4" s="85"/>
      <c r="N4" s="85"/>
    </row>
    <row r="5" spans="2:14" ht="12.75" thickBot="1">
      <c r="B5" s="86"/>
      <c r="C5" s="87"/>
      <c r="D5" s="88"/>
      <c r="E5" s="87"/>
      <c r="F5" s="87"/>
      <c r="G5" s="88"/>
      <c r="H5" s="88"/>
      <c r="I5" s="88"/>
      <c r="J5" s="88"/>
      <c r="K5" s="89"/>
      <c r="L5" s="89"/>
      <c r="M5" s="89"/>
      <c r="N5" s="89"/>
    </row>
    <row r="6" spans="2:14" ht="60">
      <c r="B6" s="180" t="s">
        <v>41</v>
      </c>
      <c r="C6" s="181"/>
      <c r="D6" s="182"/>
      <c r="E6" s="91" t="s">
        <v>111</v>
      </c>
      <c r="F6" s="91" t="s">
        <v>112</v>
      </c>
      <c r="G6" s="91" t="s">
        <v>257</v>
      </c>
      <c r="H6" s="91" t="s">
        <v>113</v>
      </c>
      <c r="I6" s="91" t="s">
        <v>114</v>
      </c>
      <c r="J6" s="91" t="s">
        <v>115</v>
      </c>
      <c r="K6" s="91" t="s">
        <v>116</v>
      </c>
      <c r="L6" s="91" t="s">
        <v>117</v>
      </c>
      <c r="M6" s="91" t="s">
        <v>50</v>
      </c>
      <c r="N6" s="92" t="s">
        <v>118</v>
      </c>
    </row>
    <row r="7" spans="2:14">
      <c r="B7" s="596" t="s">
        <v>119</v>
      </c>
      <c r="C7" s="597"/>
      <c r="D7" s="185"/>
      <c r="E7" s="123">
        <v>1449</v>
      </c>
      <c r="F7" s="123">
        <v>299</v>
      </c>
      <c r="G7" s="123">
        <f>63+3</f>
        <v>66</v>
      </c>
      <c r="H7" s="123">
        <v>61</v>
      </c>
      <c r="I7" s="123">
        <v>29</v>
      </c>
      <c r="J7" s="123">
        <f>142-3</f>
        <v>139</v>
      </c>
      <c r="K7" s="123">
        <f>64-4</f>
        <v>60</v>
      </c>
      <c r="L7" s="123">
        <f>98+4</f>
        <v>102</v>
      </c>
      <c r="M7" s="123">
        <v>19</v>
      </c>
      <c r="N7" s="186">
        <f>SUM(F7:M7)</f>
        <v>775</v>
      </c>
    </row>
    <row r="8" spans="2:14" ht="12" customHeight="1">
      <c r="B8" s="98"/>
      <c r="C8" s="99" t="s">
        <v>54</v>
      </c>
      <c r="D8" s="122" t="s">
        <v>121</v>
      </c>
      <c r="E8" s="129">
        <v>-694</v>
      </c>
      <c r="F8" s="129">
        <v>-132</v>
      </c>
      <c r="G8" s="135">
        <v>0</v>
      </c>
      <c r="H8" s="129">
        <v>-42</v>
      </c>
      <c r="I8" s="129">
        <v>-14</v>
      </c>
      <c r="J8" s="135">
        <v>0</v>
      </c>
      <c r="K8" s="135">
        <v>0</v>
      </c>
      <c r="L8" s="135">
        <v>0</v>
      </c>
      <c r="M8" s="135">
        <v>0</v>
      </c>
      <c r="N8" s="187">
        <f>SUM(F8:M8)</f>
        <v>-188</v>
      </c>
    </row>
    <row r="9" spans="2:14">
      <c r="B9" s="98"/>
      <c r="C9" s="99" t="s">
        <v>55</v>
      </c>
      <c r="D9" s="122" t="s">
        <v>122</v>
      </c>
      <c r="E9" s="188">
        <v>0</v>
      </c>
      <c r="F9" s="135">
        <v>0</v>
      </c>
      <c r="G9" s="135">
        <v>0</v>
      </c>
      <c r="H9" s="129">
        <v>-4</v>
      </c>
      <c r="I9" s="135">
        <v>0</v>
      </c>
      <c r="J9" s="129">
        <v>-6</v>
      </c>
      <c r="K9" s="129">
        <v>-1</v>
      </c>
      <c r="L9" s="129">
        <v>-12</v>
      </c>
      <c r="M9" s="135">
        <v>0</v>
      </c>
      <c r="N9" s="187">
        <f>SUM(F9:M9)</f>
        <v>-23</v>
      </c>
    </row>
    <row r="10" spans="2:14">
      <c r="B10" s="98"/>
      <c r="C10" s="99" t="s">
        <v>56</v>
      </c>
      <c r="D10" s="122" t="s">
        <v>123</v>
      </c>
      <c r="E10" s="135">
        <v>0</v>
      </c>
      <c r="F10" s="135">
        <v>0</v>
      </c>
      <c r="G10" s="135">
        <v>0</v>
      </c>
      <c r="H10" s="135">
        <v>0</v>
      </c>
      <c r="I10" s="135">
        <v>0</v>
      </c>
      <c r="J10" s="135">
        <v>0</v>
      </c>
      <c r="K10" s="135">
        <v>0</v>
      </c>
      <c r="L10" s="135">
        <v>0</v>
      </c>
      <c r="M10" s="135">
        <v>-19</v>
      </c>
      <c r="N10" s="187">
        <f>SUM(F10:M10)</f>
        <v>-19</v>
      </c>
    </row>
    <row r="11" spans="2:14">
      <c r="B11" s="98"/>
      <c r="C11" s="99" t="s">
        <v>150</v>
      </c>
      <c r="D11" s="122" t="s">
        <v>131</v>
      </c>
      <c r="E11" s="135">
        <v>0</v>
      </c>
      <c r="F11" s="135">
        <v>0</v>
      </c>
      <c r="G11" s="135">
        <v>0</v>
      </c>
      <c r="H11" s="135">
        <v>0</v>
      </c>
      <c r="I11" s="129">
        <v>-8</v>
      </c>
      <c r="J11" s="135">
        <v>0</v>
      </c>
      <c r="K11" s="135">
        <v>0</v>
      </c>
      <c r="L11" s="135">
        <v>0</v>
      </c>
      <c r="M11" s="135">
        <v>0</v>
      </c>
      <c r="N11" s="187">
        <f>SUM(F11:M11)</f>
        <v>-8</v>
      </c>
    </row>
    <row r="12" spans="2:14" ht="12.75" thickBot="1">
      <c r="B12" s="598" t="s">
        <v>125</v>
      </c>
      <c r="C12" s="599"/>
      <c r="D12" s="214"/>
      <c r="E12" s="141">
        <f t="shared" ref="E12:N12" si="0">SUM(E7:E11)</f>
        <v>755</v>
      </c>
      <c r="F12" s="141">
        <f t="shared" si="0"/>
        <v>167</v>
      </c>
      <c r="G12" s="141">
        <f t="shared" si="0"/>
        <v>66</v>
      </c>
      <c r="H12" s="141">
        <f t="shared" si="0"/>
        <v>15</v>
      </c>
      <c r="I12" s="141">
        <f t="shared" si="0"/>
        <v>7</v>
      </c>
      <c r="J12" s="141">
        <f t="shared" si="0"/>
        <v>133</v>
      </c>
      <c r="K12" s="141">
        <f t="shared" si="0"/>
        <v>59</v>
      </c>
      <c r="L12" s="141">
        <f t="shared" si="0"/>
        <v>90</v>
      </c>
      <c r="M12" s="141">
        <f t="shared" si="0"/>
        <v>0</v>
      </c>
      <c r="N12" s="192">
        <f t="shared" si="0"/>
        <v>537</v>
      </c>
    </row>
    <row r="13" spans="2:14" ht="5.25" customHeight="1" thickTop="1" thickBot="1">
      <c r="B13" s="108"/>
      <c r="C13" s="109"/>
      <c r="D13" s="110"/>
      <c r="E13" s="109"/>
      <c r="F13" s="111"/>
      <c r="G13" s="111"/>
      <c r="H13" s="111"/>
      <c r="I13" s="111"/>
      <c r="J13" s="111"/>
      <c r="K13" s="111"/>
      <c r="L13" s="111"/>
      <c r="M13" s="111"/>
      <c r="N13" s="112"/>
    </row>
    <row r="14" spans="2:14" ht="12.75" thickBot="1">
      <c r="B14" s="113"/>
      <c r="C14" s="114"/>
      <c r="D14" s="115"/>
      <c r="E14" s="114"/>
      <c r="F14" s="114"/>
      <c r="G14" s="114"/>
      <c r="H14" s="114"/>
      <c r="I14" s="114"/>
      <c r="J14" s="114"/>
      <c r="K14" s="114"/>
      <c r="L14" s="114"/>
      <c r="M14" s="114"/>
      <c r="N14" s="114"/>
    </row>
    <row r="15" spans="2:14" ht="60">
      <c r="B15" s="199" t="str">
        <f>B6</f>
        <v>Three Months Ended March 31, 2011</v>
      </c>
      <c r="C15" s="200"/>
      <c r="D15" s="116"/>
      <c r="E15" s="117" t="s">
        <v>132</v>
      </c>
      <c r="F15" s="117" t="s">
        <v>133</v>
      </c>
      <c r="G15" s="117" t="s">
        <v>128</v>
      </c>
      <c r="H15" s="118" t="s">
        <v>129</v>
      </c>
      <c r="I15" s="119"/>
      <c r="J15" s="120"/>
      <c r="K15" s="121"/>
      <c r="L15" s="113"/>
      <c r="M15" s="113"/>
      <c r="N15" s="113"/>
    </row>
    <row r="16" spans="2:14">
      <c r="B16" s="596" t="s">
        <v>119</v>
      </c>
      <c r="C16" s="597"/>
      <c r="D16" s="122"/>
      <c r="E16" s="123">
        <f>E7-N7</f>
        <v>674</v>
      </c>
      <c r="F16" s="123">
        <v>503</v>
      </c>
      <c r="G16" s="124">
        <v>0.42</v>
      </c>
      <c r="H16" s="125">
        <v>0.42</v>
      </c>
      <c r="I16" s="126"/>
      <c r="J16" s="127"/>
      <c r="K16" s="121"/>
      <c r="L16" s="113"/>
      <c r="M16" s="113"/>
      <c r="N16" s="113"/>
    </row>
    <row r="17" spans="2:14" ht="12" customHeight="1">
      <c r="B17" s="98"/>
      <c r="C17" s="99" t="s">
        <v>54</v>
      </c>
      <c r="D17" s="122" t="s">
        <v>121</v>
      </c>
      <c r="E17" s="128">
        <f>E8-N8</f>
        <v>-506</v>
      </c>
      <c r="F17" s="129">
        <v>-381</v>
      </c>
      <c r="G17" s="130">
        <v>-0.32</v>
      </c>
      <c r="H17" s="131">
        <v>-0.32</v>
      </c>
      <c r="I17" s="126"/>
      <c r="J17" s="126"/>
      <c r="K17" s="126"/>
      <c r="L17" s="126"/>
      <c r="M17" s="126"/>
      <c r="N17" s="133"/>
    </row>
    <row r="18" spans="2:14">
      <c r="B18" s="98"/>
      <c r="C18" s="99" t="s">
        <v>55</v>
      </c>
      <c r="D18" s="122" t="s">
        <v>122</v>
      </c>
      <c r="E18" s="128">
        <f>E9-N9</f>
        <v>23</v>
      </c>
      <c r="F18" s="129">
        <v>15</v>
      </c>
      <c r="G18" s="130">
        <v>0.01</v>
      </c>
      <c r="H18" s="131">
        <v>0.01</v>
      </c>
      <c r="I18" s="132"/>
      <c r="J18" s="132"/>
      <c r="K18" s="133"/>
      <c r="L18" s="133"/>
      <c r="M18" s="133"/>
      <c r="N18" s="133"/>
    </row>
    <row r="19" spans="2:14">
      <c r="B19" s="98"/>
      <c r="C19" s="99" t="s">
        <v>56</v>
      </c>
      <c r="D19" s="122" t="s">
        <v>123</v>
      </c>
      <c r="E19" s="128">
        <f>E10-N10</f>
        <v>19</v>
      </c>
      <c r="F19" s="129">
        <v>14</v>
      </c>
      <c r="G19" s="130">
        <v>0.01</v>
      </c>
      <c r="H19" s="131">
        <v>0.01</v>
      </c>
      <c r="I19" s="137"/>
      <c r="J19" s="137"/>
      <c r="K19" s="138"/>
      <c r="L19" s="133"/>
      <c r="M19" s="133"/>
      <c r="N19" s="133"/>
    </row>
    <row r="20" spans="2:14">
      <c r="B20" s="98"/>
      <c r="C20" s="99" t="s">
        <v>150</v>
      </c>
      <c r="D20" s="122" t="s">
        <v>131</v>
      </c>
      <c r="E20" s="128">
        <f>E11-N11</f>
        <v>8</v>
      </c>
      <c r="F20" s="129">
        <v>5</v>
      </c>
      <c r="G20" s="215">
        <v>0</v>
      </c>
      <c r="H20" s="136">
        <v>0</v>
      </c>
      <c r="I20" s="137"/>
      <c r="J20" s="137"/>
      <c r="K20" s="138"/>
      <c r="L20" s="133"/>
      <c r="M20" s="133"/>
      <c r="N20" s="133"/>
    </row>
    <row r="21" spans="2:14" ht="12.75" thickBot="1">
      <c r="B21" s="598" t="s">
        <v>125</v>
      </c>
      <c r="C21" s="599"/>
      <c r="D21" s="140"/>
      <c r="E21" s="141">
        <f>SUM(E16:E20)</f>
        <v>218</v>
      </c>
      <c r="F21" s="141">
        <f>SUM(F16:F20)</f>
        <v>156</v>
      </c>
      <c r="G21" s="142">
        <v>0.13</v>
      </c>
      <c r="H21" s="143">
        <v>0.13</v>
      </c>
      <c r="I21" s="144"/>
      <c r="J21" s="114"/>
      <c r="K21" s="114"/>
      <c r="L21" s="114"/>
      <c r="M21" s="114"/>
      <c r="N21" s="114"/>
    </row>
    <row r="22" spans="2:14" ht="5.25" customHeight="1" thickTop="1" thickBot="1">
      <c r="B22" s="145"/>
      <c r="C22" s="146"/>
      <c r="D22" s="147"/>
      <c r="E22" s="148"/>
      <c r="F22" s="148"/>
      <c r="G22" s="148"/>
      <c r="H22" s="149"/>
      <c r="I22" s="113"/>
      <c r="J22" s="114"/>
      <c r="K22" s="114"/>
      <c r="L22" s="114"/>
      <c r="M22" s="114"/>
      <c r="N22" s="114"/>
    </row>
    <row r="23" spans="2:14" ht="12.75" thickBot="1">
      <c r="B23" s="113"/>
      <c r="C23" s="113"/>
      <c r="D23" s="179"/>
      <c r="E23" s="113"/>
      <c r="F23" s="113"/>
      <c r="G23" s="113"/>
      <c r="H23" s="113"/>
      <c r="I23" s="113"/>
      <c r="J23" s="114"/>
      <c r="K23" s="114"/>
      <c r="L23" s="114"/>
      <c r="M23" s="114"/>
      <c r="N23" s="114"/>
    </row>
    <row r="24" spans="2:14" ht="60">
      <c r="B24" s="180" t="s">
        <v>219</v>
      </c>
      <c r="C24" s="181"/>
      <c r="D24" s="182"/>
      <c r="E24" s="91" t="s">
        <v>111</v>
      </c>
      <c r="F24" s="91" t="s">
        <v>112</v>
      </c>
      <c r="G24" s="91" t="s">
        <v>257</v>
      </c>
      <c r="H24" s="91" t="s">
        <v>113</v>
      </c>
      <c r="I24" s="91" t="s">
        <v>114</v>
      </c>
      <c r="J24" s="91" t="s">
        <v>115</v>
      </c>
      <c r="K24" s="91" t="s">
        <v>116</v>
      </c>
      <c r="L24" s="91" t="s">
        <v>117</v>
      </c>
      <c r="M24" s="91" t="s">
        <v>50</v>
      </c>
      <c r="N24" s="92" t="s">
        <v>118</v>
      </c>
    </row>
    <row r="25" spans="2:14">
      <c r="B25" s="596" t="s">
        <v>119</v>
      </c>
      <c r="C25" s="597"/>
      <c r="D25" s="185"/>
      <c r="E25" s="123">
        <v>1146</v>
      </c>
      <c r="F25" s="123">
        <v>213</v>
      </c>
      <c r="G25" s="123">
        <f>59+3</f>
        <v>62</v>
      </c>
      <c r="H25" s="123">
        <v>47</v>
      </c>
      <c r="I25" s="123">
        <v>24</v>
      </c>
      <c r="J25" s="123">
        <f>116-3</f>
        <v>113</v>
      </c>
      <c r="K25" s="123">
        <v>90</v>
      </c>
      <c r="L25" s="123">
        <v>127</v>
      </c>
      <c r="M25" s="123">
        <v>3</v>
      </c>
      <c r="N25" s="186">
        <f>SUM(F25:M25)</f>
        <v>679</v>
      </c>
    </row>
    <row r="26" spans="2:14" ht="12" customHeight="1">
      <c r="B26" s="98"/>
      <c r="C26" s="99" t="s">
        <v>54</v>
      </c>
      <c r="D26" s="122" t="s">
        <v>121</v>
      </c>
      <c r="E26" s="129">
        <v>-447</v>
      </c>
      <c r="F26" s="129">
        <v>-78</v>
      </c>
      <c r="G26" s="135">
        <v>0</v>
      </c>
      <c r="H26" s="129">
        <v>-32</v>
      </c>
      <c r="I26" s="129">
        <v>-5</v>
      </c>
      <c r="J26" s="135">
        <v>0</v>
      </c>
      <c r="K26" s="135">
        <v>0</v>
      </c>
      <c r="L26" s="135">
        <v>0</v>
      </c>
      <c r="M26" s="135">
        <v>0</v>
      </c>
      <c r="N26" s="187">
        <f>SUM(F26:M26)</f>
        <v>-115</v>
      </c>
    </row>
    <row r="27" spans="2:14">
      <c r="B27" s="98"/>
      <c r="C27" s="99" t="s">
        <v>55</v>
      </c>
      <c r="D27" s="122" t="s">
        <v>122</v>
      </c>
      <c r="E27" s="188">
        <v>0</v>
      </c>
      <c r="F27" s="135">
        <v>0</v>
      </c>
      <c r="G27" s="135">
        <v>0</v>
      </c>
      <c r="H27" s="129">
        <v>-3</v>
      </c>
      <c r="I27" s="135">
        <v>0</v>
      </c>
      <c r="J27" s="129">
        <v>-5</v>
      </c>
      <c r="K27" s="129">
        <v>-1</v>
      </c>
      <c r="L27" s="129">
        <v>-11</v>
      </c>
      <c r="M27" s="135">
        <v>0</v>
      </c>
      <c r="N27" s="187">
        <f>SUM(F27:M27)</f>
        <v>-20</v>
      </c>
    </row>
    <row r="28" spans="2:14">
      <c r="B28" s="98"/>
      <c r="C28" s="99" t="s">
        <v>56</v>
      </c>
      <c r="D28" s="122" t="s">
        <v>123</v>
      </c>
      <c r="E28" s="135">
        <v>0</v>
      </c>
      <c r="F28" s="135">
        <v>0</v>
      </c>
      <c r="G28" s="135">
        <v>0</v>
      </c>
      <c r="H28" s="135">
        <v>0</v>
      </c>
      <c r="I28" s="135">
        <v>0</v>
      </c>
      <c r="J28" s="135">
        <v>0</v>
      </c>
      <c r="K28" s="135">
        <v>0</v>
      </c>
      <c r="L28" s="135">
        <v>0</v>
      </c>
      <c r="M28" s="135">
        <v>-3</v>
      </c>
      <c r="N28" s="187">
        <f>SUM(F28:M28)</f>
        <v>-3</v>
      </c>
    </row>
    <row r="29" spans="2:14">
      <c r="B29" s="98"/>
      <c r="C29" s="99" t="s">
        <v>150</v>
      </c>
      <c r="D29" s="122" t="s">
        <v>131</v>
      </c>
      <c r="E29" s="135">
        <v>0</v>
      </c>
      <c r="F29" s="135">
        <v>0</v>
      </c>
      <c r="G29" s="135">
        <v>0</v>
      </c>
      <c r="H29" s="135">
        <v>0</v>
      </c>
      <c r="I29" s="129">
        <v>-7</v>
      </c>
      <c r="J29" s="135">
        <v>0</v>
      </c>
      <c r="K29" s="135">
        <v>0</v>
      </c>
      <c r="L29" s="135">
        <v>0</v>
      </c>
      <c r="M29" s="135">
        <v>0</v>
      </c>
      <c r="N29" s="187">
        <f>SUM(F29:M29)</f>
        <v>-7</v>
      </c>
    </row>
    <row r="30" spans="2:14" ht="12.75" thickBot="1">
      <c r="B30" s="598" t="s">
        <v>125</v>
      </c>
      <c r="C30" s="599"/>
      <c r="D30" s="214"/>
      <c r="E30" s="141">
        <f t="shared" ref="E30:N30" si="1">SUM(E25:E29)</f>
        <v>699</v>
      </c>
      <c r="F30" s="141">
        <f t="shared" si="1"/>
        <v>135</v>
      </c>
      <c r="G30" s="141">
        <f t="shared" si="1"/>
        <v>62</v>
      </c>
      <c r="H30" s="141">
        <f t="shared" si="1"/>
        <v>12</v>
      </c>
      <c r="I30" s="141">
        <f t="shared" si="1"/>
        <v>12</v>
      </c>
      <c r="J30" s="141">
        <f t="shared" si="1"/>
        <v>108</v>
      </c>
      <c r="K30" s="141">
        <f t="shared" si="1"/>
        <v>89</v>
      </c>
      <c r="L30" s="141">
        <f t="shared" si="1"/>
        <v>116</v>
      </c>
      <c r="M30" s="141">
        <f t="shared" si="1"/>
        <v>0</v>
      </c>
      <c r="N30" s="192">
        <f t="shared" si="1"/>
        <v>534</v>
      </c>
    </row>
    <row r="31" spans="2:14" ht="5.25" customHeight="1" thickTop="1" thickBot="1">
      <c r="B31" s="108"/>
      <c r="C31" s="109"/>
      <c r="D31" s="110"/>
      <c r="E31" s="109"/>
      <c r="F31" s="111"/>
      <c r="G31" s="111"/>
      <c r="H31" s="111"/>
      <c r="I31" s="111"/>
      <c r="J31" s="111"/>
      <c r="K31" s="111"/>
      <c r="L31" s="111"/>
      <c r="M31" s="111"/>
      <c r="N31" s="112"/>
    </row>
    <row r="32" spans="2:14" ht="12.75" customHeight="1" thickBot="1">
      <c r="B32" s="113"/>
      <c r="C32" s="114"/>
      <c r="D32" s="115"/>
      <c r="E32" s="114"/>
      <c r="F32" s="114"/>
      <c r="G32" s="114"/>
      <c r="H32" s="114"/>
      <c r="I32" s="114"/>
      <c r="J32" s="114"/>
      <c r="K32" s="114"/>
      <c r="L32" s="114"/>
      <c r="M32" s="114"/>
      <c r="N32" s="114"/>
    </row>
    <row r="33" spans="2:14" ht="60">
      <c r="B33" s="199" t="str">
        <f>B24</f>
        <v>Three Months Ended June 30, 2011</v>
      </c>
      <c r="C33" s="200"/>
      <c r="D33" s="116"/>
      <c r="E33" s="117" t="s">
        <v>132</v>
      </c>
      <c r="F33" s="117" t="s">
        <v>133</v>
      </c>
      <c r="G33" s="462" t="s">
        <v>128</v>
      </c>
      <c r="H33" s="463" t="s">
        <v>129</v>
      </c>
      <c r="I33" s="119"/>
      <c r="J33" s="120"/>
      <c r="K33" s="121"/>
      <c r="L33" s="113"/>
      <c r="M33" s="113"/>
      <c r="N33" s="113"/>
    </row>
    <row r="34" spans="2:14">
      <c r="B34" s="596" t="s">
        <v>119</v>
      </c>
      <c r="C34" s="597"/>
      <c r="D34" s="122"/>
      <c r="E34" s="123">
        <f>E25-N25</f>
        <v>467</v>
      </c>
      <c r="F34" s="314">
        <v>335</v>
      </c>
      <c r="G34" s="464">
        <v>0.28999999999999998</v>
      </c>
      <c r="H34" s="465">
        <v>0.28999999999999998</v>
      </c>
      <c r="I34" s="126"/>
      <c r="J34" s="127"/>
      <c r="K34" s="121"/>
      <c r="L34" s="113"/>
      <c r="M34" s="113"/>
      <c r="N34" s="113"/>
    </row>
    <row r="35" spans="2:14" ht="12" customHeight="1">
      <c r="B35" s="98"/>
      <c r="C35" s="99" t="s">
        <v>54</v>
      </c>
      <c r="D35" s="122" t="s">
        <v>121</v>
      </c>
      <c r="E35" s="128">
        <v>-332</v>
      </c>
      <c r="F35" s="316">
        <v>-238</v>
      </c>
      <c r="G35" s="466">
        <v>-0.21</v>
      </c>
      <c r="H35" s="467">
        <v>-0.2</v>
      </c>
      <c r="I35" s="126"/>
      <c r="J35" s="126"/>
      <c r="K35" s="126"/>
      <c r="L35" s="126"/>
      <c r="M35" s="126"/>
      <c r="N35" s="133"/>
    </row>
    <row r="36" spans="2:14">
      <c r="B36" s="98"/>
      <c r="C36" s="99" t="s">
        <v>55</v>
      </c>
      <c r="D36" s="122" t="s">
        <v>122</v>
      </c>
      <c r="E36" s="128">
        <f>E27-N27</f>
        <v>20</v>
      </c>
      <c r="F36" s="316">
        <v>15</v>
      </c>
      <c r="G36" s="466">
        <v>0.01</v>
      </c>
      <c r="H36" s="467">
        <v>0.01</v>
      </c>
      <c r="I36" s="132"/>
      <c r="J36" s="132"/>
      <c r="K36" s="133"/>
      <c r="L36" s="133"/>
      <c r="M36" s="133"/>
      <c r="N36" s="133"/>
    </row>
    <row r="37" spans="2:14">
      <c r="B37" s="98"/>
      <c r="C37" s="99" t="s">
        <v>56</v>
      </c>
      <c r="D37" s="122" t="s">
        <v>123</v>
      </c>
      <c r="E37" s="128">
        <f>E28-N28</f>
        <v>3</v>
      </c>
      <c r="F37" s="316">
        <v>2</v>
      </c>
      <c r="G37" s="468">
        <v>0</v>
      </c>
      <c r="H37" s="469">
        <v>0</v>
      </c>
      <c r="I37" s="137"/>
      <c r="J37" s="137"/>
      <c r="K37" s="138"/>
      <c r="L37" s="133"/>
      <c r="M37" s="133"/>
      <c r="N37" s="133"/>
    </row>
    <row r="38" spans="2:14">
      <c r="B38" s="98"/>
      <c r="C38" s="99" t="s">
        <v>150</v>
      </c>
      <c r="D38" s="122" t="s">
        <v>131</v>
      </c>
      <c r="E38" s="128">
        <f>E29-N29</f>
        <v>7</v>
      </c>
      <c r="F38" s="316">
        <v>4</v>
      </c>
      <c r="G38" s="470">
        <v>0</v>
      </c>
      <c r="H38" s="469">
        <v>0</v>
      </c>
      <c r="I38" s="137"/>
      <c r="J38" s="137"/>
      <c r="K38" s="138"/>
      <c r="L38" s="133"/>
      <c r="M38" s="133"/>
      <c r="N38" s="133"/>
    </row>
    <row r="39" spans="2:14" ht="12.75" thickBot="1">
      <c r="B39" s="598" t="s">
        <v>125</v>
      </c>
      <c r="C39" s="599"/>
      <c r="D39" s="140"/>
      <c r="E39" s="141">
        <f>SUM(E34:E38)</f>
        <v>165</v>
      </c>
      <c r="F39" s="141">
        <f>SUM(F34:F38)</f>
        <v>118</v>
      </c>
      <c r="G39" s="471">
        <v>0.1</v>
      </c>
      <c r="H39" s="472">
        <v>0.1</v>
      </c>
      <c r="I39" s="144"/>
      <c r="J39" s="114"/>
      <c r="K39" s="114"/>
      <c r="L39" s="114"/>
      <c r="M39" s="114"/>
      <c r="N39" s="114"/>
    </row>
    <row r="40" spans="2:14" ht="5.25" customHeight="1" thickTop="1" thickBot="1">
      <c r="B40" s="145"/>
      <c r="C40" s="146"/>
      <c r="D40" s="147"/>
      <c r="E40" s="148"/>
      <c r="F40" s="148"/>
      <c r="G40" s="148"/>
      <c r="H40" s="149"/>
      <c r="I40" s="113"/>
      <c r="J40" s="114"/>
      <c r="K40" s="114"/>
      <c r="L40" s="114"/>
      <c r="M40" s="114"/>
      <c r="N40" s="114"/>
    </row>
    <row r="41" spans="2:14" ht="12.75" customHeight="1" thickBot="1">
      <c r="B41" s="113"/>
      <c r="C41" s="113"/>
      <c r="D41" s="179"/>
      <c r="E41" s="113"/>
      <c r="F41" s="113"/>
      <c r="G41" s="113"/>
      <c r="H41" s="113"/>
      <c r="I41" s="113"/>
      <c r="J41" s="114"/>
      <c r="K41" s="114"/>
      <c r="L41" s="114"/>
      <c r="M41" s="114"/>
      <c r="N41" s="114"/>
    </row>
    <row r="42" spans="2:14" ht="60">
      <c r="B42" s="180" t="s">
        <v>237</v>
      </c>
      <c r="C42" s="181"/>
      <c r="D42" s="182"/>
      <c r="E42" s="91" t="s">
        <v>111</v>
      </c>
      <c r="F42" s="91" t="s">
        <v>112</v>
      </c>
      <c r="G42" s="91" t="s">
        <v>257</v>
      </c>
      <c r="H42" s="91" t="s">
        <v>113</v>
      </c>
      <c r="I42" s="91" t="s">
        <v>114</v>
      </c>
      <c r="J42" s="91" t="s">
        <v>115</v>
      </c>
      <c r="K42" s="91" t="s">
        <v>116</v>
      </c>
      <c r="L42" s="91" t="s">
        <v>117</v>
      </c>
      <c r="M42" s="91" t="s">
        <v>50</v>
      </c>
      <c r="N42" s="92" t="s">
        <v>118</v>
      </c>
    </row>
    <row r="43" spans="2:14">
      <c r="B43" s="596" t="s">
        <v>119</v>
      </c>
      <c r="C43" s="597"/>
      <c r="D43" s="185"/>
      <c r="E43" s="123">
        <v>754</v>
      </c>
      <c r="F43" s="123">
        <v>138</v>
      </c>
      <c r="G43" s="123">
        <f>59+4</f>
        <v>63</v>
      </c>
      <c r="H43" s="123">
        <v>24</v>
      </c>
      <c r="I43" s="123">
        <v>16</v>
      </c>
      <c r="J43" s="123">
        <f>133-4</f>
        <v>129</v>
      </c>
      <c r="K43" s="123">
        <v>115</v>
      </c>
      <c r="L43" s="123">
        <v>104</v>
      </c>
      <c r="M43" s="123">
        <v>3</v>
      </c>
      <c r="N43" s="186">
        <f>SUM(F43:M43)</f>
        <v>592</v>
      </c>
    </row>
    <row r="44" spans="2:14" ht="12" customHeight="1">
      <c r="B44" s="98"/>
      <c r="C44" s="99" t="s">
        <v>54</v>
      </c>
      <c r="D44" s="122" t="s">
        <v>121</v>
      </c>
      <c r="E44" s="129">
        <v>-127</v>
      </c>
      <c r="F44" s="129">
        <v>-10</v>
      </c>
      <c r="G44" s="135">
        <v>0</v>
      </c>
      <c r="H44" s="129">
        <v>-10</v>
      </c>
      <c r="I44" s="129">
        <v>-2</v>
      </c>
      <c r="J44" s="135">
        <v>0</v>
      </c>
      <c r="K44" s="135">
        <v>0</v>
      </c>
      <c r="L44" s="135">
        <v>0</v>
      </c>
      <c r="M44" s="135">
        <v>0</v>
      </c>
      <c r="N44" s="187">
        <f>SUM(F44:M44)</f>
        <v>-22</v>
      </c>
    </row>
    <row r="45" spans="2:14">
      <c r="B45" s="98"/>
      <c r="C45" s="99" t="s">
        <v>55</v>
      </c>
      <c r="D45" s="122" t="s">
        <v>122</v>
      </c>
      <c r="E45" s="188">
        <v>0</v>
      </c>
      <c r="F45" s="135">
        <v>0</v>
      </c>
      <c r="G45" s="135">
        <v>0</v>
      </c>
      <c r="H45" s="135">
        <v>0</v>
      </c>
      <c r="I45" s="135">
        <v>0</v>
      </c>
      <c r="J45" s="129">
        <v>-5</v>
      </c>
      <c r="K45" s="129">
        <v>-2</v>
      </c>
      <c r="L45" s="129">
        <v>-11</v>
      </c>
      <c r="M45" s="135">
        <v>0</v>
      </c>
      <c r="N45" s="187">
        <f>SUM(F45:M45)</f>
        <v>-18</v>
      </c>
    </row>
    <row r="46" spans="2:14">
      <c r="B46" s="98"/>
      <c r="C46" s="99" t="s">
        <v>56</v>
      </c>
      <c r="D46" s="122" t="s">
        <v>123</v>
      </c>
      <c r="E46" s="135">
        <v>0</v>
      </c>
      <c r="F46" s="135">
        <v>0</v>
      </c>
      <c r="G46" s="135">
        <v>0</v>
      </c>
      <c r="H46" s="135">
        <v>0</v>
      </c>
      <c r="I46" s="135">
        <v>0</v>
      </c>
      <c r="J46" s="135">
        <v>0</v>
      </c>
      <c r="K46" s="135">
        <v>0</v>
      </c>
      <c r="L46" s="135">
        <v>0</v>
      </c>
      <c r="M46" s="135">
        <v>-3</v>
      </c>
      <c r="N46" s="187">
        <f>SUM(F46:M46)</f>
        <v>-3</v>
      </c>
    </row>
    <row r="47" spans="2:14">
      <c r="B47" s="98"/>
      <c r="C47" s="99" t="s">
        <v>150</v>
      </c>
      <c r="D47" s="122" t="s">
        <v>131</v>
      </c>
      <c r="E47" s="135">
        <v>0</v>
      </c>
      <c r="F47" s="135">
        <v>0</v>
      </c>
      <c r="G47" s="135">
        <v>0</v>
      </c>
      <c r="H47" s="135">
        <v>0</v>
      </c>
      <c r="I47" s="129">
        <v>-7</v>
      </c>
      <c r="J47" s="135">
        <v>0</v>
      </c>
      <c r="K47" s="135">
        <v>0</v>
      </c>
      <c r="L47" s="135">
        <v>0</v>
      </c>
      <c r="M47" s="135">
        <v>0</v>
      </c>
      <c r="N47" s="187">
        <f>SUM(F47:M47)</f>
        <v>-7</v>
      </c>
    </row>
    <row r="48" spans="2:14" ht="12.75" thickBot="1">
      <c r="B48" s="598" t="s">
        <v>125</v>
      </c>
      <c r="C48" s="599"/>
      <c r="D48" s="214"/>
      <c r="E48" s="141">
        <f t="shared" ref="E48:N48" si="2">SUM(E43:E47)</f>
        <v>627</v>
      </c>
      <c r="F48" s="141">
        <f t="shared" si="2"/>
        <v>128</v>
      </c>
      <c r="G48" s="141">
        <f t="shared" si="2"/>
        <v>63</v>
      </c>
      <c r="H48" s="141">
        <f t="shared" si="2"/>
        <v>14</v>
      </c>
      <c r="I48" s="141">
        <f t="shared" si="2"/>
        <v>7</v>
      </c>
      <c r="J48" s="141">
        <f t="shared" si="2"/>
        <v>124</v>
      </c>
      <c r="K48" s="141">
        <f t="shared" si="2"/>
        <v>113</v>
      </c>
      <c r="L48" s="141">
        <f t="shared" si="2"/>
        <v>93</v>
      </c>
      <c r="M48" s="141">
        <f t="shared" si="2"/>
        <v>0</v>
      </c>
      <c r="N48" s="192">
        <f t="shared" si="2"/>
        <v>542</v>
      </c>
    </row>
    <row r="49" spans="2:14" ht="5.25" customHeight="1" thickTop="1" thickBot="1">
      <c r="B49" s="108"/>
      <c r="C49" s="109"/>
      <c r="D49" s="110"/>
      <c r="E49" s="109"/>
      <c r="F49" s="111"/>
      <c r="G49" s="111"/>
      <c r="H49" s="111"/>
      <c r="I49" s="111"/>
      <c r="J49" s="111"/>
      <c r="K49" s="111"/>
      <c r="L49" s="111"/>
      <c r="M49" s="111"/>
      <c r="N49" s="112"/>
    </row>
    <row r="50" spans="2:14" ht="12.75" customHeight="1" thickBot="1">
      <c r="B50" s="113"/>
      <c r="C50" s="114"/>
      <c r="D50" s="115"/>
      <c r="E50" s="114"/>
      <c r="F50" s="114"/>
      <c r="G50" s="114"/>
      <c r="H50" s="114"/>
      <c r="I50" s="114"/>
      <c r="J50" s="114"/>
      <c r="K50" s="114"/>
      <c r="L50" s="114"/>
      <c r="M50" s="114"/>
      <c r="N50" s="114"/>
    </row>
    <row r="51" spans="2:14" ht="60">
      <c r="B51" s="199" t="str">
        <f>B42</f>
        <v>Three Months Ended September 30, 2011</v>
      </c>
      <c r="C51" s="200"/>
      <c r="D51" s="116"/>
      <c r="E51" s="117" t="s">
        <v>132</v>
      </c>
      <c r="F51" s="117" t="s">
        <v>133</v>
      </c>
      <c r="G51" s="462" t="s">
        <v>128</v>
      </c>
      <c r="H51" s="463" t="s">
        <v>129</v>
      </c>
      <c r="I51" s="119"/>
      <c r="J51" s="120"/>
      <c r="K51" s="121"/>
      <c r="L51" s="113"/>
      <c r="M51" s="113"/>
      <c r="N51" s="113"/>
    </row>
    <row r="52" spans="2:14">
      <c r="B52" s="596" t="s">
        <v>119</v>
      </c>
      <c r="C52" s="597"/>
      <c r="D52" s="122"/>
      <c r="E52" s="123">
        <f>E43-N43</f>
        <v>162</v>
      </c>
      <c r="F52" s="314">
        <v>148</v>
      </c>
      <c r="G52" s="464">
        <v>0.13</v>
      </c>
      <c r="H52" s="465">
        <v>0.13</v>
      </c>
      <c r="I52" s="126"/>
      <c r="J52" s="127"/>
      <c r="K52" s="121"/>
      <c r="L52" s="113"/>
      <c r="M52" s="113"/>
      <c r="N52" s="113"/>
    </row>
    <row r="53" spans="2:14" ht="12" customHeight="1">
      <c r="B53" s="98"/>
      <c r="C53" s="99" t="s">
        <v>54</v>
      </c>
      <c r="D53" s="122" t="s">
        <v>121</v>
      </c>
      <c r="E53" s="128">
        <f>E44-N44</f>
        <v>-105</v>
      </c>
      <c r="F53" s="316">
        <v>-81</v>
      </c>
      <c r="G53" s="466">
        <v>-7.0000000000000007E-2</v>
      </c>
      <c r="H53" s="467">
        <v>-7.0000000000000007E-2</v>
      </c>
      <c r="I53" s="126"/>
      <c r="J53" s="126"/>
      <c r="K53" s="126"/>
      <c r="L53" s="126"/>
      <c r="M53" s="126"/>
      <c r="N53" s="133"/>
    </row>
    <row r="54" spans="2:14">
      <c r="B54" s="98"/>
      <c r="C54" s="99" t="s">
        <v>55</v>
      </c>
      <c r="D54" s="122" t="s">
        <v>122</v>
      </c>
      <c r="E54" s="128">
        <f>E45-N45</f>
        <v>18</v>
      </c>
      <c r="F54" s="316">
        <v>13</v>
      </c>
      <c r="G54" s="466">
        <v>0.01</v>
      </c>
      <c r="H54" s="467">
        <v>0.01</v>
      </c>
      <c r="I54" s="132"/>
      <c r="J54" s="132"/>
      <c r="K54" s="133"/>
      <c r="L54" s="133"/>
      <c r="M54" s="133"/>
      <c r="N54" s="133"/>
    </row>
    <row r="55" spans="2:14">
      <c r="B55" s="98"/>
      <c r="C55" s="99" t="s">
        <v>56</v>
      </c>
      <c r="D55" s="122" t="s">
        <v>123</v>
      </c>
      <c r="E55" s="128">
        <f>E46-N46</f>
        <v>3</v>
      </c>
      <c r="F55" s="316">
        <v>2</v>
      </c>
      <c r="G55" s="468">
        <v>0</v>
      </c>
      <c r="H55" s="469">
        <v>0</v>
      </c>
      <c r="I55" s="137"/>
      <c r="J55" s="137"/>
      <c r="K55" s="138"/>
      <c r="L55" s="133"/>
      <c r="M55" s="133"/>
      <c r="N55" s="133"/>
    </row>
    <row r="56" spans="2:14">
      <c r="B56" s="98"/>
      <c r="C56" s="99" t="s">
        <v>150</v>
      </c>
      <c r="D56" s="122" t="s">
        <v>131</v>
      </c>
      <c r="E56" s="128">
        <f>E47-N47</f>
        <v>7</v>
      </c>
      <c r="F56" s="316">
        <v>5</v>
      </c>
      <c r="G56" s="470">
        <v>0</v>
      </c>
      <c r="H56" s="469">
        <v>0</v>
      </c>
      <c r="I56" s="137"/>
      <c r="J56" s="137"/>
      <c r="K56" s="138"/>
      <c r="L56" s="133"/>
      <c r="M56" s="133"/>
      <c r="N56" s="133"/>
    </row>
    <row r="57" spans="2:14" ht="12.75" thickBot="1">
      <c r="B57" s="598" t="s">
        <v>125</v>
      </c>
      <c r="C57" s="599"/>
      <c r="D57" s="140"/>
      <c r="E57" s="141">
        <f>SUM(E52:E56)</f>
        <v>85</v>
      </c>
      <c r="F57" s="141">
        <f>SUM(F52:F56)</f>
        <v>87</v>
      </c>
      <c r="G57" s="471">
        <v>7.0000000000000007E-2</v>
      </c>
      <c r="H57" s="472">
        <v>7.0000000000000007E-2</v>
      </c>
      <c r="I57" s="144"/>
      <c r="J57" s="114"/>
      <c r="K57" s="114"/>
      <c r="L57" s="114"/>
      <c r="M57" s="114"/>
      <c r="N57" s="114"/>
    </row>
    <row r="58" spans="2:14" ht="5.25" customHeight="1" thickTop="1" thickBot="1">
      <c r="B58" s="145"/>
      <c r="C58" s="146"/>
      <c r="D58" s="147"/>
      <c r="E58" s="148"/>
      <c r="F58" s="148"/>
      <c r="G58" s="148"/>
      <c r="H58" s="149"/>
      <c r="I58" s="113"/>
      <c r="J58" s="114"/>
      <c r="K58" s="114"/>
      <c r="L58" s="114"/>
      <c r="M58" s="114"/>
      <c r="N58" s="114"/>
    </row>
    <row r="59" spans="2:14" ht="12.75" customHeight="1" thickBot="1">
      <c r="B59" s="113"/>
      <c r="C59" s="113"/>
      <c r="D59" s="179"/>
      <c r="E59" s="113"/>
      <c r="F59" s="113"/>
      <c r="G59" s="113"/>
      <c r="H59" s="113"/>
      <c r="I59" s="113"/>
      <c r="J59" s="114"/>
      <c r="K59" s="114"/>
      <c r="L59" s="114"/>
      <c r="M59" s="114"/>
      <c r="N59" s="114"/>
    </row>
    <row r="60" spans="2:14" ht="60">
      <c r="B60" s="180" t="s">
        <v>247</v>
      </c>
      <c r="C60" s="181"/>
      <c r="D60" s="182"/>
      <c r="E60" s="91" t="s">
        <v>111</v>
      </c>
      <c r="F60" s="91" t="s">
        <v>112</v>
      </c>
      <c r="G60" s="91" t="s">
        <v>257</v>
      </c>
      <c r="H60" s="91" t="s">
        <v>113</v>
      </c>
      <c r="I60" s="91" t="s">
        <v>114</v>
      </c>
      <c r="J60" s="91" t="s">
        <v>115</v>
      </c>
      <c r="K60" s="91" t="s">
        <v>116</v>
      </c>
      <c r="L60" s="91" t="s">
        <v>117</v>
      </c>
      <c r="M60" s="91" t="s">
        <v>50</v>
      </c>
      <c r="N60" s="92" t="s">
        <v>118</v>
      </c>
    </row>
    <row r="61" spans="2:14">
      <c r="B61" s="596" t="s">
        <v>119</v>
      </c>
      <c r="C61" s="597"/>
      <c r="D61" s="185"/>
      <c r="E61" s="123">
        <v>1407</v>
      </c>
      <c r="F61" s="123">
        <v>483</v>
      </c>
      <c r="G61" s="123">
        <v>65</v>
      </c>
      <c r="H61" s="123">
        <v>85</v>
      </c>
      <c r="I61" s="123">
        <v>96</v>
      </c>
      <c r="J61" s="123">
        <v>249</v>
      </c>
      <c r="K61" s="123">
        <v>281</v>
      </c>
      <c r="L61" s="123">
        <v>122</v>
      </c>
      <c r="M61" s="123">
        <v>1</v>
      </c>
      <c r="N61" s="186">
        <f t="shared" ref="N61:N66" si="3">SUM(F61:M61)</f>
        <v>1382</v>
      </c>
    </row>
    <row r="62" spans="2:14" ht="12" customHeight="1">
      <c r="B62" s="98"/>
      <c r="C62" s="99" t="s">
        <v>54</v>
      </c>
      <c r="D62" s="122" t="s">
        <v>121</v>
      </c>
      <c r="E62" s="129">
        <v>1001</v>
      </c>
      <c r="F62" s="129">
        <v>209</v>
      </c>
      <c r="G62" s="135">
        <v>0</v>
      </c>
      <c r="H62" s="129">
        <v>37</v>
      </c>
      <c r="I62" s="129">
        <v>-3</v>
      </c>
      <c r="J62" s="135">
        <v>0</v>
      </c>
      <c r="K62" s="135">
        <v>0</v>
      </c>
      <c r="L62" s="135">
        <v>0</v>
      </c>
      <c r="M62" s="135">
        <v>0</v>
      </c>
      <c r="N62" s="187">
        <f t="shared" si="3"/>
        <v>243</v>
      </c>
    </row>
    <row r="63" spans="2:14">
      <c r="B63" s="98"/>
      <c r="C63" s="99" t="s">
        <v>55</v>
      </c>
      <c r="D63" s="122" t="s">
        <v>122</v>
      </c>
      <c r="E63" s="188">
        <v>0</v>
      </c>
      <c r="F63" s="135">
        <v>0</v>
      </c>
      <c r="G63" s="135">
        <v>0</v>
      </c>
      <c r="H63" s="135">
        <v>-3</v>
      </c>
      <c r="I63" s="135">
        <v>0</v>
      </c>
      <c r="J63" s="129">
        <v>-25</v>
      </c>
      <c r="K63" s="129">
        <v>-2</v>
      </c>
      <c r="L63" s="129">
        <v>-13</v>
      </c>
      <c r="M63" s="135">
        <v>0</v>
      </c>
      <c r="N63" s="187">
        <f t="shared" si="3"/>
        <v>-43</v>
      </c>
    </row>
    <row r="64" spans="2:14">
      <c r="B64" s="98"/>
      <c r="C64" s="99" t="s">
        <v>56</v>
      </c>
      <c r="D64" s="122" t="s">
        <v>123</v>
      </c>
      <c r="E64" s="135">
        <v>0</v>
      </c>
      <c r="F64" s="135">
        <v>0</v>
      </c>
      <c r="G64" s="135">
        <v>0</v>
      </c>
      <c r="H64" s="135">
        <v>0</v>
      </c>
      <c r="I64" s="135">
        <v>0</v>
      </c>
      <c r="J64" s="135">
        <v>0</v>
      </c>
      <c r="K64" s="135">
        <v>0</v>
      </c>
      <c r="L64" s="135">
        <v>-1</v>
      </c>
      <c r="M64" s="135">
        <v>-1</v>
      </c>
      <c r="N64" s="187">
        <f t="shared" si="3"/>
        <v>-2</v>
      </c>
    </row>
    <row r="65" spans="2:14">
      <c r="B65" s="98"/>
      <c r="C65" s="99" t="s">
        <v>150</v>
      </c>
      <c r="D65" s="122" t="s">
        <v>131</v>
      </c>
      <c r="E65" s="135">
        <v>0</v>
      </c>
      <c r="F65" s="135">
        <v>-2</v>
      </c>
      <c r="G65" s="135">
        <v>0</v>
      </c>
      <c r="H65" s="135">
        <v>0</v>
      </c>
      <c r="I65" s="129">
        <v>-48</v>
      </c>
      <c r="J65" s="135">
        <v>0</v>
      </c>
      <c r="K65" s="135">
        <v>0</v>
      </c>
      <c r="L65" s="135">
        <v>0</v>
      </c>
      <c r="M65" s="135">
        <v>0</v>
      </c>
      <c r="N65" s="187">
        <f t="shared" si="3"/>
        <v>-50</v>
      </c>
    </row>
    <row r="66" spans="2:14">
      <c r="B66" s="98"/>
      <c r="C66" s="99" t="s">
        <v>248</v>
      </c>
      <c r="D66" s="122" t="s">
        <v>124</v>
      </c>
      <c r="E66" s="135">
        <v>0</v>
      </c>
      <c r="F66" s="135">
        <v>0</v>
      </c>
      <c r="G66" s="135">
        <v>0</v>
      </c>
      <c r="H66" s="135">
        <v>0</v>
      </c>
      <c r="I66" s="129">
        <v>0</v>
      </c>
      <c r="J66" s="135">
        <v>0</v>
      </c>
      <c r="K66" s="135">
        <v>0</v>
      </c>
      <c r="L66" s="135">
        <v>-12</v>
      </c>
      <c r="M66" s="135">
        <v>0</v>
      </c>
      <c r="N66" s="187">
        <f t="shared" si="3"/>
        <v>-12</v>
      </c>
    </row>
    <row r="67" spans="2:14" ht="12.75" thickBot="1">
      <c r="B67" s="598" t="s">
        <v>125</v>
      </c>
      <c r="C67" s="599"/>
      <c r="D67" s="214"/>
      <c r="E67" s="141">
        <f t="shared" ref="E67:N67" si="4">SUM(E61:E66)</f>
        <v>2408</v>
      </c>
      <c r="F67" s="141">
        <f t="shared" si="4"/>
        <v>690</v>
      </c>
      <c r="G67" s="141">
        <f t="shared" si="4"/>
        <v>65</v>
      </c>
      <c r="H67" s="141">
        <f t="shared" si="4"/>
        <v>119</v>
      </c>
      <c r="I67" s="141">
        <f t="shared" si="4"/>
        <v>45</v>
      </c>
      <c r="J67" s="141">
        <f t="shared" si="4"/>
        <v>224</v>
      </c>
      <c r="K67" s="141">
        <f t="shared" si="4"/>
        <v>279</v>
      </c>
      <c r="L67" s="141">
        <f t="shared" si="4"/>
        <v>96</v>
      </c>
      <c r="M67" s="141">
        <f t="shared" si="4"/>
        <v>0</v>
      </c>
      <c r="N67" s="192">
        <f t="shared" si="4"/>
        <v>1518</v>
      </c>
    </row>
    <row r="68" spans="2:14" ht="5.25" customHeight="1" thickTop="1" thickBot="1">
      <c r="B68" s="108"/>
      <c r="C68" s="109"/>
      <c r="D68" s="110"/>
      <c r="E68" s="109"/>
      <c r="F68" s="111"/>
      <c r="G68" s="111"/>
      <c r="H68" s="111"/>
      <c r="I68" s="111"/>
      <c r="J68" s="111"/>
      <c r="K68" s="111"/>
      <c r="L68" s="111"/>
      <c r="M68" s="111"/>
      <c r="N68" s="112"/>
    </row>
    <row r="69" spans="2:14" ht="12.75" customHeight="1" thickBot="1">
      <c r="B69" s="113"/>
      <c r="C69" s="114"/>
      <c r="D69" s="115"/>
      <c r="E69" s="114"/>
      <c r="F69" s="114"/>
      <c r="G69" s="114"/>
      <c r="H69" s="114"/>
      <c r="I69" s="114"/>
      <c r="J69" s="114"/>
      <c r="K69" s="114"/>
      <c r="L69" s="114"/>
      <c r="M69" s="114"/>
      <c r="N69" s="114"/>
    </row>
    <row r="70" spans="2:14" ht="48">
      <c r="B70" s="199" t="str">
        <f>B60</f>
        <v>Three Months Ended December 31, 2011</v>
      </c>
      <c r="C70" s="200"/>
      <c r="D70" s="116"/>
      <c r="E70" s="117" t="s">
        <v>132</v>
      </c>
      <c r="F70" s="117" t="s">
        <v>133</v>
      </c>
      <c r="G70" s="462" t="s">
        <v>134</v>
      </c>
      <c r="H70" s="463" t="s">
        <v>135</v>
      </c>
      <c r="I70" s="119"/>
      <c r="J70" s="120"/>
      <c r="K70" s="121"/>
      <c r="L70" s="113"/>
      <c r="M70" s="113"/>
      <c r="N70" s="113"/>
    </row>
    <row r="71" spans="2:14">
      <c r="B71" s="596" t="s">
        <v>119</v>
      </c>
      <c r="C71" s="597"/>
      <c r="D71" s="122"/>
      <c r="E71" s="123">
        <f t="shared" ref="E71:E76" si="5">E61-N61</f>
        <v>25</v>
      </c>
      <c r="F71" s="314">
        <v>99</v>
      </c>
      <c r="G71" s="464">
        <v>0.09</v>
      </c>
      <c r="H71" s="465">
        <v>0.08</v>
      </c>
      <c r="I71" s="126"/>
      <c r="J71" s="127"/>
      <c r="K71" s="121"/>
      <c r="L71" s="113"/>
      <c r="M71" s="113"/>
      <c r="N71" s="113"/>
    </row>
    <row r="72" spans="2:14" ht="12" customHeight="1">
      <c r="B72" s="98"/>
      <c r="C72" s="99" t="s">
        <v>54</v>
      </c>
      <c r="D72" s="122" t="s">
        <v>121</v>
      </c>
      <c r="E72" s="128">
        <f t="shared" si="5"/>
        <v>758</v>
      </c>
      <c r="F72" s="316">
        <v>549</v>
      </c>
      <c r="G72" s="466">
        <v>0.47</v>
      </c>
      <c r="H72" s="467">
        <v>0.47</v>
      </c>
      <c r="I72" s="126"/>
      <c r="J72" s="126"/>
      <c r="K72" s="126"/>
      <c r="L72" s="126"/>
      <c r="M72" s="126"/>
      <c r="N72" s="133"/>
    </row>
    <row r="73" spans="2:14">
      <c r="B73" s="98"/>
      <c r="C73" s="99" t="s">
        <v>55</v>
      </c>
      <c r="D73" s="122" t="s">
        <v>122</v>
      </c>
      <c r="E73" s="128">
        <f t="shared" si="5"/>
        <v>43</v>
      </c>
      <c r="F73" s="316">
        <v>33</v>
      </c>
      <c r="G73" s="466">
        <v>0.03</v>
      </c>
      <c r="H73" s="467">
        <v>0.03</v>
      </c>
      <c r="I73" s="132"/>
      <c r="J73" s="132"/>
      <c r="K73" s="133"/>
      <c r="L73" s="133"/>
      <c r="M73" s="133"/>
      <c r="N73" s="133"/>
    </row>
    <row r="74" spans="2:14">
      <c r="B74" s="98"/>
      <c r="C74" s="99" t="s">
        <v>56</v>
      </c>
      <c r="D74" s="122" t="s">
        <v>123</v>
      </c>
      <c r="E74" s="128">
        <f t="shared" si="5"/>
        <v>2</v>
      </c>
      <c r="F74" s="316">
        <v>1</v>
      </c>
      <c r="G74" s="468">
        <v>0</v>
      </c>
      <c r="H74" s="469">
        <v>0</v>
      </c>
      <c r="I74" s="137"/>
      <c r="J74" s="137"/>
      <c r="K74" s="138"/>
      <c r="L74" s="133"/>
      <c r="M74" s="133"/>
      <c r="N74" s="133"/>
    </row>
    <row r="75" spans="2:14">
      <c r="B75" s="98"/>
      <c r="C75" s="99" t="s">
        <v>150</v>
      </c>
      <c r="D75" s="122" t="s">
        <v>131</v>
      </c>
      <c r="E75" s="128">
        <f t="shared" si="5"/>
        <v>50</v>
      </c>
      <c r="F75" s="316">
        <v>31</v>
      </c>
      <c r="G75" s="466">
        <v>0.03</v>
      </c>
      <c r="H75" s="467">
        <v>0.03</v>
      </c>
      <c r="I75" s="137"/>
      <c r="J75" s="137"/>
      <c r="K75" s="138"/>
      <c r="L75" s="133"/>
      <c r="M75" s="133"/>
      <c r="N75" s="133"/>
    </row>
    <row r="76" spans="2:14">
      <c r="B76" s="98"/>
      <c r="C76" s="99" t="s">
        <v>248</v>
      </c>
      <c r="D76" s="122" t="s">
        <v>124</v>
      </c>
      <c r="E76" s="128">
        <f t="shared" si="5"/>
        <v>12</v>
      </c>
      <c r="F76" s="316">
        <v>12</v>
      </c>
      <c r="G76" s="568">
        <v>0.01</v>
      </c>
      <c r="H76" s="569">
        <v>0.01</v>
      </c>
      <c r="I76" s="137"/>
      <c r="J76" s="137"/>
      <c r="K76" s="138"/>
      <c r="L76" s="133"/>
      <c r="M76" s="133"/>
      <c r="N76" s="133"/>
    </row>
    <row r="77" spans="2:14" ht="12.75" thickBot="1">
      <c r="B77" s="598" t="s">
        <v>125</v>
      </c>
      <c r="C77" s="599"/>
      <c r="D77" s="140"/>
      <c r="E77" s="141">
        <f>SUM(E71:E76)</f>
        <v>890</v>
      </c>
      <c r="F77" s="141">
        <f>SUM(F71:F76)</f>
        <v>725</v>
      </c>
      <c r="G77" s="471">
        <v>0.63</v>
      </c>
      <c r="H77" s="472">
        <v>0.62</v>
      </c>
      <c r="I77" s="144"/>
      <c r="J77" s="114"/>
      <c r="K77" s="114"/>
      <c r="L77" s="114"/>
      <c r="M77" s="114"/>
      <c r="N77" s="114"/>
    </row>
    <row r="78" spans="2:14" ht="5.25" customHeight="1" thickTop="1" thickBot="1">
      <c r="B78" s="145"/>
      <c r="C78" s="146"/>
      <c r="D78" s="147"/>
      <c r="E78" s="148"/>
      <c r="F78" s="148"/>
      <c r="G78" s="148"/>
      <c r="H78" s="149"/>
      <c r="I78" s="113"/>
      <c r="J78" s="114"/>
      <c r="K78" s="114"/>
      <c r="L78" s="114"/>
      <c r="M78" s="114"/>
      <c r="N78" s="114"/>
    </row>
    <row r="79" spans="2:14">
      <c r="B79" s="113"/>
      <c r="C79" s="113"/>
      <c r="D79" s="179"/>
      <c r="E79" s="113"/>
      <c r="F79" s="113"/>
      <c r="G79" s="113"/>
      <c r="H79" s="113"/>
      <c r="I79" s="113"/>
      <c r="J79" s="114"/>
      <c r="K79" s="114"/>
      <c r="L79" s="114"/>
      <c r="M79" s="114"/>
      <c r="N79" s="114"/>
    </row>
    <row r="80" spans="2:14">
      <c r="B80" s="209"/>
      <c r="C80" s="601" t="s">
        <v>136</v>
      </c>
      <c r="D80" s="601"/>
      <c r="E80" s="601"/>
      <c r="F80" s="601"/>
      <c r="G80" s="601"/>
      <c r="H80" s="601"/>
      <c r="I80" s="601"/>
      <c r="J80" s="601"/>
      <c r="K80" s="601"/>
      <c r="L80" s="601"/>
      <c r="M80" s="601"/>
      <c r="N80" s="601"/>
    </row>
    <row r="81" spans="2:14">
      <c r="B81" s="209"/>
      <c r="C81" s="600" t="s">
        <v>137</v>
      </c>
      <c r="D81" s="600"/>
      <c r="E81" s="600"/>
      <c r="F81" s="600"/>
      <c r="G81" s="600"/>
      <c r="H81" s="600"/>
      <c r="I81" s="600"/>
      <c r="J81" s="600"/>
      <c r="K81" s="600"/>
      <c r="L81" s="600"/>
      <c r="M81" s="600"/>
      <c r="N81" s="600"/>
    </row>
    <row r="82" spans="2:14">
      <c r="B82" s="209"/>
      <c r="C82" s="600" t="s">
        <v>138</v>
      </c>
      <c r="D82" s="600"/>
      <c r="E82" s="600"/>
      <c r="F82" s="600"/>
      <c r="G82" s="600"/>
      <c r="H82" s="600"/>
      <c r="I82" s="600"/>
      <c r="J82" s="600"/>
      <c r="K82" s="600"/>
      <c r="L82" s="600"/>
      <c r="M82" s="600"/>
      <c r="N82" s="600"/>
    </row>
    <row r="83" spans="2:14">
      <c r="B83" s="210"/>
      <c r="C83" s="601" t="s">
        <v>191</v>
      </c>
      <c r="D83" s="601"/>
      <c r="E83" s="601"/>
      <c r="F83" s="601"/>
      <c r="G83" s="601"/>
      <c r="H83" s="601"/>
      <c r="I83" s="601"/>
      <c r="J83" s="601"/>
      <c r="K83" s="601"/>
      <c r="L83" s="601"/>
      <c r="M83" s="601"/>
      <c r="N83" s="601"/>
    </row>
    <row r="84" spans="2:14">
      <c r="B84" s="210"/>
      <c r="C84" s="553" t="s">
        <v>249</v>
      </c>
      <c r="D84" s="553"/>
      <c r="E84" s="553"/>
      <c r="F84" s="553"/>
      <c r="G84" s="553"/>
      <c r="H84" s="553"/>
      <c r="I84" s="553"/>
      <c r="J84" s="553"/>
      <c r="K84" s="553"/>
      <c r="L84" s="553"/>
      <c r="M84" s="553"/>
      <c r="N84" s="553"/>
    </row>
    <row r="85" spans="2:14">
      <c r="B85" s="210"/>
      <c r="C85" s="211"/>
      <c r="D85" s="216"/>
      <c r="E85" s="216"/>
      <c r="F85" s="216"/>
      <c r="G85" s="216"/>
      <c r="H85" s="216"/>
      <c r="I85" s="216"/>
      <c r="J85" s="216"/>
      <c r="K85" s="216"/>
      <c r="L85" s="216"/>
      <c r="M85" s="216"/>
      <c r="N85" s="216"/>
    </row>
    <row r="86" spans="2:14" ht="33" customHeight="1">
      <c r="B86" s="210"/>
      <c r="C86" s="595" t="s">
        <v>139</v>
      </c>
      <c r="D86" s="595"/>
      <c r="E86" s="595"/>
      <c r="F86" s="595"/>
      <c r="G86" s="595"/>
      <c r="H86" s="595"/>
      <c r="I86" s="595"/>
      <c r="J86" s="595"/>
      <c r="K86" s="595"/>
      <c r="L86" s="595"/>
      <c r="M86" s="595"/>
      <c r="N86" s="595"/>
    </row>
  </sheetData>
  <sheetProtection formatCells="0" formatColumns="0" formatRows="0" sort="0" autoFilter="0" pivotTables="0"/>
  <mergeCells count="24">
    <mergeCell ref="C86:N86"/>
    <mergeCell ref="C80:N80"/>
    <mergeCell ref="C81:N81"/>
    <mergeCell ref="C82:N82"/>
    <mergeCell ref="B39:C39"/>
    <mergeCell ref="B43:C43"/>
    <mergeCell ref="B48:C48"/>
    <mergeCell ref="B52:C52"/>
    <mergeCell ref="B57:C57"/>
    <mergeCell ref="C83:N83"/>
    <mergeCell ref="B61:C61"/>
    <mergeCell ref="B67:C67"/>
    <mergeCell ref="B71:C71"/>
    <mergeCell ref="B77:C77"/>
    <mergeCell ref="B7:C7"/>
    <mergeCell ref="B12:C12"/>
    <mergeCell ref="B1:N1"/>
    <mergeCell ref="B2:N2"/>
    <mergeCell ref="B3:N3"/>
    <mergeCell ref="B25:C25"/>
    <mergeCell ref="B30:C30"/>
    <mergeCell ref="B34:C34"/>
    <mergeCell ref="B16:C16"/>
    <mergeCell ref="B21:C21"/>
  </mergeCells>
  <pageMargins left="0.7" right="0.7" top="0.25" bottom="0.44" header="0.3" footer="0.3"/>
  <pageSetup scale="52" orientation="portrait" r:id="rId1"/>
  <headerFooter>
    <oddFooter>&amp;LActivision Blizzard, Inc.&amp;R&amp;P of &amp; 17</oddFooter>
  </headerFooter>
  <rowBreaks count="1" manualBreakCount="1">
    <brk id="41" min="1" max="1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89"/>
  <sheetViews>
    <sheetView view="pageBreakPreview" zoomScale="70" zoomScaleNormal="100" zoomScaleSheetLayoutView="70" workbookViewId="0"/>
  </sheetViews>
  <sheetFormatPr defaultRowHeight="12"/>
  <cols>
    <col min="1" max="1" width="2.85546875" style="84" customWidth="1"/>
    <col min="2" max="2" width="1.42578125" style="84" customWidth="1"/>
    <col min="3" max="3" width="57.140625" style="84" customWidth="1"/>
    <col min="4" max="4" width="4.42578125" style="84" bestFit="1" customWidth="1"/>
    <col min="5" max="5" width="10.85546875" style="84" customWidth="1"/>
    <col min="6" max="7" width="8.5703125" style="84" customWidth="1"/>
    <col min="8" max="8" width="12.42578125" style="84" customWidth="1"/>
    <col min="9" max="9" width="10.5703125" style="84" customWidth="1"/>
    <col min="10" max="10" width="12.28515625" style="84" customWidth="1"/>
    <col min="11" max="11" width="10" style="84" customWidth="1"/>
    <col min="12" max="14" width="13" style="84" customWidth="1"/>
    <col min="15" max="16384" width="9.140625" style="84"/>
  </cols>
  <sheetData>
    <row r="1" spans="2:14">
      <c r="B1" s="602" t="s">
        <v>76</v>
      </c>
      <c r="C1" s="602"/>
      <c r="D1" s="602"/>
      <c r="E1" s="602"/>
      <c r="F1" s="602"/>
      <c r="G1" s="602"/>
      <c r="H1" s="602"/>
      <c r="I1" s="602"/>
      <c r="J1" s="602"/>
      <c r="K1" s="602"/>
      <c r="L1" s="602"/>
      <c r="M1" s="602"/>
      <c r="N1" s="602"/>
    </row>
    <row r="2" spans="2:14">
      <c r="B2" s="602" t="s">
        <v>296</v>
      </c>
      <c r="C2" s="602"/>
      <c r="D2" s="602"/>
      <c r="E2" s="602"/>
      <c r="F2" s="602"/>
      <c r="G2" s="602"/>
      <c r="H2" s="602"/>
      <c r="I2" s="602"/>
      <c r="J2" s="602"/>
      <c r="K2" s="602"/>
      <c r="L2" s="602"/>
      <c r="M2" s="602"/>
      <c r="N2" s="602"/>
    </row>
    <row r="3" spans="2:14">
      <c r="B3" s="602" t="s">
        <v>110</v>
      </c>
      <c r="C3" s="602"/>
      <c r="D3" s="602"/>
      <c r="E3" s="602"/>
      <c r="F3" s="602"/>
      <c r="G3" s="602"/>
      <c r="H3" s="602"/>
      <c r="I3" s="602"/>
      <c r="J3" s="602"/>
      <c r="K3" s="602"/>
      <c r="L3" s="602"/>
      <c r="M3" s="602"/>
      <c r="N3" s="602"/>
    </row>
    <row r="4" spans="2:14">
      <c r="B4" s="85"/>
      <c r="C4" s="85"/>
      <c r="D4" s="85"/>
      <c r="E4" s="85"/>
      <c r="F4" s="85"/>
      <c r="G4" s="85"/>
      <c r="H4" s="85"/>
      <c r="I4" s="85"/>
      <c r="J4" s="85"/>
      <c r="K4" s="85"/>
      <c r="L4" s="85"/>
      <c r="M4" s="85"/>
      <c r="N4" s="85"/>
    </row>
    <row r="5" spans="2:14" ht="12.75" thickBot="1">
      <c r="B5" s="86"/>
      <c r="C5" s="87"/>
      <c r="D5" s="88"/>
      <c r="E5" s="87"/>
      <c r="F5" s="87"/>
      <c r="G5" s="88"/>
      <c r="H5" s="88"/>
      <c r="I5" s="88"/>
      <c r="J5" s="88"/>
      <c r="K5" s="89"/>
      <c r="L5" s="89"/>
      <c r="M5" s="89"/>
      <c r="N5" s="89"/>
    </row>
    <row r="6" spans="2:14" ht="60">
      <c r="B6" s="603" t="s">
        <v>25</v>
      </c>
      <c r="C6" s="604"/>
      <c r="D6" s="90"/>
      <c r="E6" s="91" t="s">
        <v>111</v>
      </c>
      <c r="F6" s="91" t="s">
        <v>112</v>
      </c>
      <c r="G6" s="91" t="s">
        <v>257</v>
      </c>
      <c r="H6" s="91" t="s">
        <v>113</v>
      </c>
      <c r="I6" s="91" t="s">
        <v>114</v>
      </c>
      <c r="J6" s="91" t="s">
        <v>115</v>
      </c>
      <c r="K6" s="91" t="s">
        <v>116</v>
      </c>
      <c r="L6" s="91" t="s">
        <v>117</v>
      </c>
      <c r="M6" s="92" t="s">
        <v>118</v>
      </c>
      <c r="N6" s="93"/>
    </row>
    <row r="7" spans="2:14">
      <c r="B7" s="605" t="s">
        <v>119</v>
      </c>
      <c r="C7" s="606"/>
      <c r="D7" s="94"/>
      <c r="E7" s="95">
        <v>1308</v>
      </c>
      <c r="F7" s="95">
        <v>337</v>
      </c>
      <c r="G7" s="95">
        <f>56+2</f>
        <v>58</v>
      </c>
      <c r="H7" s="95">
        <v>99</v>
      </c>
      <c r="I7" s="95">
        <v>43</v>
      </c>
      <c r="J7" s="95">
        <f>136-2</f>
        <v>134</v>
      </c>
      <c r="K7" s="95">
        <v>56</v>
      </c>
      <c r="L7" s="95">
        <v>70</v>
      </c>
      <c r="M7" s="96">
        <f>SUM(F7:L7)</f>
        <v>797</v>
      </c>
      <c r="N7" s="97" t="s">
        <v>120</v>
      </c>
    </row>
    <row r="8" spans="2:14" ht="12" customHeight="1">
      <c r="B8" s="98"/>
      <c r="C8" s="99" t="s">
        <v>54</v>
      </c>
      <c r="D8" s="94" t="s">
        <v>121</v>
      </c>
      <c r="E8" s="100">
        <v>-594</v>
      </c>
      <c r="F8" s="100">
        <v>-133</v>
      </c>
      <c r="G8" s="100">
        <v>0</v>
      </c>
      <c r="H8" s="100">
        <v>-37</v>
      </c>
      <c r="I8" s="100">
        <v>-14</v>
      </c>
      <c r="J8" s="100">
        <v>0</v>
      </c>
      <c r="K8" s="100">
        <v>0</v>
      </c>
      <c r="L8" s="100">
        <v>0</v>
      </c>
      <c r="M8" s="101">
        <f>SUM(F8:L8)</f>
        <v>-184</v>
      </c>
      <c r="N8" s="97" t="s">
        <v>120</v>
      </c>
    </row>
    <row r="9" spans="2:14" ht="24">
      <c r="B9" s="98"/>
      <c r="C9" s="99" t="s">
        <v>149</v>
      </c>
      <c r="D9" s="94" t="s">
        <v>122</v>
      </c>
      <c r="E9" s="102">
        <v>0</v>
      </c>
      <c r="F9" s="102">
        <v>0</v>
      </c>
      <c r="G9" s="102">
        <v>0</v>
      </c>
      <c r="H9" s="102">
        <v>-29</v>
      </c>
      <c r="I9" s="102">
        <v>0</v>
      </c>
      <c r="J9" s="102">
        <v>-4</v>
      </c>
      <c r="K9" s="102">
        <v>-2</v>
      </c>
      <c r="L9" s="102">
        <v>-9</v>
      </c>
      <c r="M9" s="103">
        <f>SUM(F9:L9)</f>
        <v>-44</v>
      </c>
      <c r="N9" s="97" t="s">
        <v>120</v>
      </c>
    </row>
    <row r="10" spans="2:14">
      <c r="B10" s="98"/>
      <c r="C10" s="99" t="s">
        <v>130</v>
      </c>
      <c r="D10" s="104" t="s">
        <v>123</v>
      </c>
      <c r="E10" s="102">
        <v>0</v>
      </c>
      <c r="F10" s="102">
        <v>0</v>
      </c>
      <c r="G10" s="102">
        <v>0</v>
      </c>
      <c r="H10" s="102">
        <v>0</v>
      </c>
      <c r="I10" s="102">
        <v>0</v>
      </c>
      <c r="J10" s="102">
        <v>0</v>
      </c>
      <c r="K10" s="102">
        <v>0</v>
      </c>
      <c r="L10" s="102">
        <v>-3</v>
      </c>
      <c r="M10" s="103">
        <f>SUM(F10:L10)</f>
        <v>-3</v>
      </c>
      <c r="N10" s="97" t="s">
        <v>120</v>
      </c>
    </row>
    <row r="11" spans="2:14">
      <c r="B11" s="98"/>
      <c r="C11" s="99" t="s">
        <v>150</v>
      </c>
      <c r="D11" s="94" t="s">
        <v>131</v>
      </c>
      <c r="E11" s="212">
        <v>0</v>
      </c>
      <c r="F11" s="212">
        <v>-1</v>
      </c>
      <c r="G11" s="212">
        <v>0</v>
      </c>
      <c r="H11" s="212">
        <v>-4</v>
      </c>
      <c r="I11" s="212">
        <v>-12</v>
      </c>
      <c r="J11" s="212">
        <v>0</v>
      </c>
      <c r="K11" s="212">
        <v>0</v>
      </c>
      <c r="L11" s="212">
        <v>0</v>
      </c>
      <c r="M11" s="213">
        <f>SUM(F11:L11)</f>
        <v>-17</v>
      </c>
      <c r="N11" s="97" t="s">
        <v>120</v>
      </c>
    </row>
    <row r="12" spans="2:14" ht="12.75" thickBot="1">
      <c r="B12" s="598" t="s">
        <v>125</v>
      </c>
      <c r="C12" s="599"/>
      <c r="D12" s="105"/>
      <c r="E12" s="106">
        <f t="shared" ref="E12:M12" si="0">SUM(E7:E11)</f>
        <v>714</v>
      </c>
      <c r="F12" s="106">
        <f t="shared" si="0"/>
        <v>203</v>
      </c>
      <c r="G12" s="106">
        <f t="shared" si="0"/>
        <v>58</v>
      </c>
      <c r="H12" s="106">
        <f t="shared" si="0"/>
        <v>29</v>
      </c>
      <c r="I12" s="106">
        <f t="shared" si="0"/>
        <v>17</v>
      </c>
      <c r="J12" s="106">
        <f t="shared" si="0"/>
        <v>130</v>
      </c>
      <c r="K12" s="106">
        <f t="shared" si="0"/>
        <v>54</v>
      </c>
      <c r="L12" s="106">
        <f t="shared" si="0"/>
        <v>58</v>
      </c>
      <c r="M12" s="107">
        <f t="shared" si="0"/>
        <v>549</v>
      </c>
      <c r="N12" s="97" t="s">
        <v>120</v>
      </c>
    </row>
    <row r="13" spans="2:14" ht="4.5" customHeight="1" thickTop="1" thickBot="1">
      <c r="B13" s="108"/>
      <c r="C13" s="109"/>
      <c r="D13" s="110"/>
      <c r="E13" s="109"/>
      <c r="F13" s="111"/>
      <c r="G13" s="111"/>
      <c r="H13" s="111"/>
      <c r="I13" s="111"/>
      <c r="J13" s="111"/>
      <c r="K13" s="111"/>
      <c r="L13" s="111"/>
      <c r="M13" s="112"/>
      <c r="N13" s="97" t="s">
        <v>120</v>
      </c>
    </row>
    <row r="14" spans="2:14" ht="12.75" thickBot="1">
      <c r="B14" s="113"/>
      <c r="C14" s="114"/>
      <c r="D14" s="115"/>
      <c r="E14" s="114"/>
      <c r="F14" s="114"/>
      <c r="G14" s="114"/>
      <c r="H14" s="114"/>
      <c r="I14" s="114"/>
      <c r="J14" s="114"/>
      <c r="K14" s="114"/>
      <c r="L14" s="114"/>
      <c r="M14" s="114"/>
      <c r="N14" s="114"/>
    </row>
    <row r="15" spans="2:14" ht="60">
      <c r="B15" s="603" t="str">
        <f>B6</f>
        <v>Three Months Ended March 31, 2010</v>
      </c>
      <c r="C15" s="604"/>
      <c r="D15" s="116"/>
      <c r="E15" s="117" t="s">
        <v>132</v>
      </c>
      <c r="F15" s="117" t="s">
        <v>133</v>
      </c>
      <c r="G15" s="117" t="s">
        <v>128</v>
      </c>
      <c r="H15" s="118" t="s">
        <v>129</v>
      </c>
      <c r="I15" s="119"/>
      <c r="J15" s="120"/>
      <c r="K15" s="121"/>
      <c r="L15" s="113"/>
      <c r="M15" s="113"/>
      <c r="N15" s="113"/>
    </row>
    <row r="16" spans="2:14">
      <c r="B16" s="596" t="s">
        <v>119</v>
      </c>
      <c r="C16" s="597"/>
      <c r="D16" s="122"/>
      <c r="E16" s="123">
        <f>E7-M7</f>
        <v>511</v>
      </c>
      <c r="F16" s="123">
        <v>381</v>
      </c>
      <c r="G16" s="124">
        <v>0.3</v>
      </c>
      <c r="H16" s="125">
        <v>0.3</v>
      </c>
      <c r="I16" s="126"/>
      <c r="J16" s="127"/>
      <c r="K16" s="121"/>
      <c r="L16" s="113"/>
      <c r="M16" s="113"/>
      <c r="N16" s="113"/>
    </row>
    <row r="17" spans="2:14" ht="12" customHeight="1">
      <c r="B17" s="98"/>
      <c r="C17" s="99" t="s">
        <v>54</v>
      </c>
      <c r="D17" s="122" t="s">
        <v>121</v>
      </c>
      <c r="E17" s="128">
        <f>E8-M8</f>
        <v>-410</v>
      </c>
      <c r="F17" s="129">
        <v>-308</v>
      </c>
      <c r="G17" s="130">
        <v>-0.24</v>
      </c>
      <c r="H17" s="131">
        <v>-0.24</v>
      </c>
      <c r="I17" s="126"/>
      <c r="J17" s="126"/>
      <c r="K17" s="126"/>
      <c r="L17" s="126"/>
      <c r="M17" s="126"/>
      <c r="N17" s="126"/>
    </row>
    <row r="18" spans="2:14" ht="24">
      <c r="B18" s="98"/>
      <c r="C18" s="99" t="s">
        <v>149</v>
      </c>
      <c r="D18" s="122" t="s">
        <v>122</v>
      </c>
      <c r="E18" s="128">
        <f>E9-M9</f>
        <v>44</v>
      </c>
      <c r="F18" s="129">
        <v>30</v>
      </c>
      <c r="G18" s="130">
        <v>0.02</v>
      </c>
      <c r="H18" s="131">
        <v>0.02</v>
      </c>
      <c r="I18" s="132"/>
      <c r="J18" s="132"/>
      <c r="K18" s="133"/>
      <c r="L18" s="133"/>
      <c r="M18" s="133"/>
      <c r="N18" s="133"/>
    </row>
    <row r="19" spans="2:14">
      <c r="B19" s="98"/>
      <c r="C19" s="99" t="s">
        <v>130</v>
      </c>
      <c r="D19" s="134" t="s">
        <v>123</v>
      </c>
      <c r="E19" s="128">
        <f>E10-M10</f>
        <v>3</v>
      </c>
      <c r="F19" s="129">
        <v>2</v>
      </c>
      <c r="G19" s="135">
        <v>0</v>
      </c>
      <c r="H19" s="136">
        <v>0</v>
      </c>
      <c r="I19" s="137"/>
      <c r="J19" s="137"/>
      <c r="K19" s="138"/>
      <c r="L19" s="133"/>
      <c r="M19" s="133"/>
      <c r="N19" s="133"/>
    </row>
    <row r="20" spans="2:14">
      <c r="B20" s="98"/>
      <c r="C20" s="99" t="s">
        <v>150</v>
      </c>
      <c r="D20" s="122" t="s">
        <v>131</v>
      </c>
      <c r="E20" s="128">
        <f>E11-M11</f>
        <v>17</v>
      </c>
      <c r="F20" s="129">
        <v>11</v>
      </c>
      <c r="G20" s="139">
        <v>0.01</v>
      </c>
      <c r="H20" s="131">
        <v>0.01</v>
      </c>
      <c r="I20" s="137"/>
      <c r="J20" s="137"/>
      <c r="K20" s="138"/>
      <c r="L20" s="133"/>
      <c r="M20" s="133"/>
      <c r="N20" s="133"/>
    </row>
    <row r="21" spans="2:14" ht="12.75" thickBot="1">
      <c r="B21" s="598" t="s">
        <v>125</v>
      </c>
      <c r="C21" s="599"/>
      <c r="D21" s="140"/>
      <c r="E21" s="141">
        <f>SUM(E16:E20)</f>
        <v>165</v>
      </c>
      <c r="F21" s="141">
        <f>SUM(F16:F20)</f>
        <v>116</v>
      </c>
      <c r="G21" s="142">
        <v>0.09</v>
      </c>
      <c r="H21" s="143">
        <v>0.09</v>
      </c>
      <c r="I21" s="144"/>
      <c r="J21" s="114"/>
      <c r="K21" s="114"/>
      <c r="L21" s="114"/>
      <c r="M21" s="114"/>
      <c r="N21" s="114"/>
    </row>
    <row r="22" spans="2:14" ht="4.5" customHeight="1" thickTop="1" thickBot="1">
      <c r="B22" s="145"/>
      <c r="C22" s="146"/>
      <c r="D22" s="147"/>
      <c r="E22" s="148"/>
      <c r="F22" s="148"/>
      <c r="G22" s="148"/>
      <c r="H22" s="149"/>
      <c r="I22" s="113"/>
      <c r="J22" s="114"/>
      <c r="K22" s="114"/>
      <c r="L22" s="114"/>
      <c r="M22" s="114"/>
      <c r="N22" s="114"/>
    </row>
    <row r="24" spans="2:14" ht="12.75" thickBot="1"/>
    <row r="25" spans="2:14" ht="60">
      <c r="B25" s="603" t="s">
        <v>148</v>
      </c>
      <c r="C25" s="604"/>
      <c r="D25" s="90"/>
      <c r="E25" s="91" t="s">
        <v>111</v>
      </c>
      <c r="F25" s="91" t="s">
        <v>112</v>
      </c>
      <c r="G25" s="91" t="s">
        <v>257</v>
      </c>
      <c r="H25" s="91" t="s">
        <v>113</v>
      </c>
      <c r="I25" s="91" t="s">
        <v>114</v>
      </c>
      <c r="J25" s="91" t="s">
        <v>115</v>
      </c>
      <c r="K25" s="91" t="s">
        <v>116</v>
      </c>
      <c r="L25" s="91" t="s">
        <v>117</v>
      </c>
      <c r="M25" s="92" t="s">
        <v>118</v>
      </c>
    </row>
    <row r="26" spans="2:14">
      <c r="B26" s="605" t="s">
        <v>119</v>
      </c>
      <c r="C26" s="606"/>
      <c r="D26" s="94"/>
      <c r="E26" s="95">
        <v>967</v>
      </c>
      <c r="F26" s="95">
        <v>235</v>
      </c>
      <c r="G26" s="95">
        <f>53+2</f>
        <v>55</v>
      </c>
      <c r="H26" s="95">
        <v>51</v>
      </c>
      <c r="I26" s="95">
        <v>29</v>
      </c>
      <c r="J26" s="95">
        <f>99-2</f>
        <v>97</v>
      </c>
      <c r="K26" s="95">
        <v>125</v>
      </c>
      <c r="L26" s="95">
        <v>75</v>
      </c>
      <c r="M26" s="96">
        <f>SUM(F26:L26)</f>
        <v>667</v>
      </c>
    </row>
    <row r="27" spans="2:14" ht="12" customHeight="1">
      <c r="B27" s="98"/>
      <c r="C27" s="99" t="s">
        <v>54</v>
      </c>
      <c r="D27" s="94" t="s">
        <v>121</v>
      </c>
      <c r="E27" s="100">
        <v>-284</v>
      </c>
      <c r="F27" s="100">
        <v>-68</v>
      </c>
      <c r="G27" s="100">
        <v>0</v>
      </c>
      <c r="H27" s="100">
        <v>13</v>
      </c>
      <c r="I27" s="100">
        <v>-2</v>
      </c>
      <c r="J27" s="100">
        <v>0</v>
      </c>
      <c r="K27" s="100">
        <v>0</v>
      </c>
      <c r="L27" s="100">
        <v>0</v>
      </c>
      <c r="M27" s="101">
        <v>-57</v>
      </c>
    </row>
    <row r="28" spans="2:14" ht="24">
      <c r="B28" s="98"/>
      <c r="C28" s="99" t="s">
        <v>149</v>
      </c>
      <c r="D28" s="94" t="s">
        <v>122</v>
      </c>
      <c r="E28" s="102">
        <v>0</v>
      </c>
      <c r="F28" s="102">
        <v>0</v>
      </c>
      <c r="G28" s="102">
        <v>0</v>
      </c>
      <c r="H28" s="102">
        <v>-12</v>
      </c>
      <c r="I28" s="102">
        <v>0</v>
      </c>
      <c r="J28" s="102">
        <v>6</v>
      </c>
      <c r="K28" s="102">
        <v>-2</v>
      </c>
      <c r="L28" s="102">
        <v>-9</v>
      </c>
      <c r="M28" s="103">
        <v>-17</v>
      </c>
    </row>
    <row r="29" spans="2:14">
      <c r="B29" s="98"/>
      <c r="C29" s="99" t="s">
        <v>130</v>
      </c>
      <c r="D29" s="104" t="s">
        <v>123</v>
      </c>
      <c r="E29" s="102">
        <v>0</v>
      </c>
      <c r="F29" s="102">
        <v>0</v>
      </c>
      <c r="G29" s="102">
        <v>0</v>
      </c>
      <c r="H29" s="102">
        <v>0</v>
      </c>
      <c r="I29" s="102">
        <v>0</v>
      </c>
      <c r="J29" s="102">
        <v>0</v>
      </c>
      <c r="K29" s="102">
        <v>0</v>
      </c>
      <c r="L29" s="102">
        <v>-1</v>
      </c>
      <c r="M29" s="103">
        <v>-1</v>
      </c>
    </row>
    <row r="30" spans="2:14">
      <c r="B30" s="98"/>
      <c r="C30" s="99" t="s">
        <v>188</v>
      </c>
      <c r="D30" s="94" t="s">
        <v>131</v>
      </c>
      <c r="E30" s="212">
        <v>0</v>
      </c>
      <c r="F30" s="212">
        <v>-1</v>
      </c>
      <c r="G30" s="212">
        <v>0</v>
      </c>
      <c r="H30" s="212">
        <v>0</v>
      </c>
      <c r="I30" s="212">
        <v>-9</v>
      </c>
      <c r="J30" s="212">
        <v>0</v>
      </c>
      <c r="K30" s="212">
        <v>0</v>
      </c>
      <c r="L30" s="212">
        <v>0</v>
      </c>
      <c r="M30" s="213">
        <v>-10</v>
      </c>
    </row>
    <row r="31" spans="2:14" ht="12.75" thickBot="1">
      <c r="B31" s="598" t="s">
        <v>125</v>
      </c>
      <c r="C31" s="599"/>
      <c r="D31" s="105"/>
      <c r="E31" s="106">
        <v>683</v>
      </c>
      <c r="F31" s="106">
        <v>166</v>
      </c>
      <c r="G31" s="106">
        <v>55</v>
      </c>
      <c r="H31" s="106">
        <v>52</v>
      </c>
      <c r="I31" s="106">
        <v>18</v>
      </c>
      <c r="J31" s="106">
        <v>103</v>
      </c>
      <c r="K31" s="106">
        <v>123</v>
      </c>
      <c r="L31" s="106">
        <v>65</v>
      </c>
      <c r="M31" s="107">
        <v>582</v>
      </c>
    </row>
    <row r="32" spans="2:14" ht="4.5" customHeight="1" thickTop="1" thickBot="1">
      <c r="B32" s="108"/>
      <c r="C32" s="109"/>
      <c r="D32" s="110"/>
      <c r="E32" s="109"/>
      <c r="F32" s="111"/>
      <c r="G32" s="111"/>
      <c r="H32" s="111"/>
      <c r="I32" s="111"/>
      <c r="J32" s="111"/>
      <c r="K32" s="111"/>
      <c r="L32" s="111"/>
      <c r="M32" s="112"/>
    </row>
    <row r="33" spans="2:13" ht="13.5" thickBot="1">
      <c r="B33" s="150"/>
      <c r="C33" s="151"/>
      <c r="D33" s="152"/>
      <c r="E33" s="151"/>
      <c r="F33" s="151"/>
      <c r="G33" s="151"/>
      <c r="H33" s="151"/>
      <c r="I33" s="151"/>
      <c r="J33" s="151"/>
      <c r="K33" s="151"/>
      <c r="L33" s="151"/>
      <c r="M33" s="151"/>
    </row>
    <row r="34" spans="2:13" ht="60">
      <c r="B34" s="603" t="s">
        <v>148</v>
      </c>
      <c r="C34" s="604"/>
      <c r="D34" s="116"/>
      <c r="E34" s="117" t="s">
        <v>132</v>
      </c>
      <c r="F34" s="117" t="s">
        <v>133</v>
      </c>
      <c r="G34" s="117" t="s">
        <v>128</v>
      </c>
      <c r="H34" s="118" t="s">
        <v>129</v>
      </c>
      <c r="I34" s="153"/>
      <c r="J34" s="154"/>
      <c r="K34" s="155"/>
      <c r="L34" s="150"/>
      <c r="M34" s="150"/>
    </row>
    <row r="35" spans="2:13" ht="12.75">
      <c r="B35" s="596" t="s">
        <v>119</v>
      </c>
      <c r="C35" s="597"/>
      <c r="D35" s="122"/>
      <c r="E35" s="123">
        <v>300</v>
      </c>
      <c r="F35" s="123">
        <v>219</v>
      </c>
      <c r="G35" s="124">
        <v>0.17635222099911163</v>
      </c>
      <c r="H35" s="125">
        <v>0.17414140342614404</v>
      </c>
      <c r="I35" s="156"/>
      <c r="J35" s="157"/>
      <c r="K35" s="155"/>
      <c r="L35" s="150"/>
      <c r="M35" s="150"/>
    </row>
    <row r="36" spans="2:13" ht="12" customHeight="1">
      <c r="B36" s="98"/>
      <c r="C36" s="99" t="s">
        <v>54</v>
      </c>
      <c r="D36" s="122" t="s">
        <v>121</v>
      </c>
      <c r="E36" s="128">
        <v>-227</v>
      </c>
      <c r="F36" s="129">
        <v>-165</v>
      </c>
      <c r="G36" s="130">
        <v>-0.13296949690624998</v>
      </c>
      <c r="H36" s="131">
        <v>-0.13131570573786891</v>
      </c>
      <c r="I36" s="156"/>
      <c r="J36" s="156"/>
      <c r="K36" s="156"/>
      <c r="L36" s="156"/>
      <c r="M36" s="158"/>
    </row>
    <row r="37" spans="2:13" ht="24">
      <c r="B37" s="98"/>
      <c r="C37" s="99" t="s">
        <v>149</v>
      </c>
      <c r="D37" s="122" t="s">
        <v>122</v>
      </c>
      <c r="E37" s="128">
        <v>17</v>
      </c>
      <c r="F37" s="129">
        <v>12</v>
      </c>
      <c r="G37" s="130">
        <v>9.709487035933724E-3</v>
      </c>
      <c r="H37" s="131">
        <v>9.5887265285757167E-3</v>
      </c>
      <c r="I37" s="159"/>
      <c r="J37" s="159"/>
      <c r="K37" s="158"/>
      <c r="L37" s="158"/>
      <c r="M37" s="158"/>
    </row>
    <row r="38" spans="2:13" ht="12.75">
      <c r="B38" s="98"/>
      <c r="C38" s="99" t="s">
        <v>130</v>
      </c>
      <c r="D38" s="134" t="s">
        <v>123</v>
      </c>
      <c r="E38" s="128">
        <v>1</v>
      </c>
      <c r="F38" s="129">
        <v>0</v>
      </c>
      <c r="G38" s="160">
        <v>0</v>
      </c>
      <c r="H38" s="136">
        <v>0</v>
      </c>
      <c r="I38" s="161"/>
      <c r="J38" s="161"/>
      <c r="K38" s="162"/>
      <c r="L38" s="158"/>
      <c r="M38" s="158"/>
    </row>
    <row r="39" spans="2:13" ht="12.75">
      <c r="B39" s="98"/>
      <c r="C39" s="99" t="s">
        <v>150</v>
      </c>
      <c r="D39" s="122" t="s">
        <v>131</v>
      </c>
      <c r="E39" s="128">
        <v>10</v>
      </c>
      <c r="F39" s="129">
        <v>6</v>
      </c>
      <c r="G39" s="139">
        <v>4.8293850201945451E-3</v>
      </c>
      <c r="H39" s="131">
        <v>4.7693201595991816E-3</v>
      </c>
      <c r="I39" s="161"/>
      <c r="J39" s="161"/>
      <c r="K39" s="162"/>
      <c r="L39" s="158"/>
      <c r="M39" s="158"/>
    </row>
    <row r="40" spans="2:13" ht="13.5" thickBot="1">
      <c r="B40" s="598" t="s">
        <v>125</v>
      </c>
      <c r="C40" s="599"/>
      <c r="D40" s="140"/>
      <c r="E40" s="141">
        <v>101</v>
      </c>
      <c r="F40" s="141">
        <v>72</v>
      </c>
      <c r="G40" s="142">
        <v>5.8184469364824298E-2</v>
      </c>
      <c r="H40" s="143">
        <v>5.7460807443772369E-2</v>
      </c>
      <c r="I40" s="163"/>
      <c r="J40" s="151"/>
      <c r="K40" s="151"/>
      <c r="L40" s="151"/>
    </row>
    <row r="41" spans="2:13" ht="4.5" customHeight="1" thickTop="1" thickBot="1">
      <c r="B41" s="145"/>
      <c r="C41" s="146"/>
      <c r="D41" s="147"/>
      <c r="E41" s="148"/>
      <c r="F41" s="148"/>
      <c r="G41" s="148"/>
      <c r="H41" s="149"/>
      <c r="I41" s="150"/>
      <c r="J41" s="151"/>
      <c r="K41" s="151"/>
      <c r="L41" s="151"/>
    </row>
    <row r="43" spans="2:13" ht="12.75" thickBot="1"/>
    <row r="44" spans="2:13" ht="60">
      <c r="B44" s="603" t="s">
        <v>37</v>
      </c>
      <c r="C44" s="604"/>
      <c r="D44" s="90"/>
      <c r="E44" s="91" t="s">
        <v>111</v>
      </c>
      <c r="F44" s="91" t="s">
        <v>112</v>
      </c>
      <c r="G44" s="91" t="s">
        <v>257</v>
      </c>
      <c r="H44" s="91" t="s">
        <v>113</v>
      </c>
      <c r="I44" s="91" t="s">
        <v>114</v>
      </c>
      <c r="J44" s="91" t="s">
        <v>115</v>
      </c>
      <c r="K44" s="91" t="s">
        <v>116</v>
      </c>
      <c r="L44" s="91" t="s">
        <v>117</v>
      </c>
      <c r="M44" s="92" t="s">
        <v>118</v>
      </c>
    </row>
    <row r="45" spans="2:13">
      <c r="B45" s="605" t="s">
        <v>119</v>
      </c>
      <c r="C45" s="606"/>
      <c r="D45" s="94"/>
      <c r="E45" s="95">
        <v>745</v>
      </c>
      <c r="F45" s="95">
        <v>194</v>
      </c>
      <c r="G45" s="95">
        <f>61+3</f>
        <v>64</v>
      </c>
      <c r="H45" s="95">
        <v>61</v>
      </c>
      <c r="I45" s="95">
        <v>33</v>
      </c>
      <c r="J45" s="95">
        <f>118-3</f>
        <v>115</v>
      </c>
      <c r="K45" s="95">
        <v>110</v>
      </c>
      <c r="L45" s="95">
        <v>113</v>
      </c>
      <c r="M45" s="96">
        <v>690</v>
      </c>
    </row>
    <row r="46" spans="2:13" ht="12" customHeight="1">
      <c r="B46" s="98"/>
      <c r="C46" s="99" t="s">
        <v>54</v>
      </c>
      <c r="D46" s="94" t="s">
        <v>121</v>
      </c>
      <c r="E46" s="100">
        <v>112</v>
      </c>
      <c r="F46" s="100">
        <v>3</v>
      </c>
      <c r="G46" s="100">
        <v>0</v>
      </c>
      <c r="H46" s="100">
        <v>8</v>
      </c>
      <c r="I46" s="100">
        <v>4</v>
      </c>
      <c r="J46" s="100">
        <v>0</v>
      </c>
      <c r="K46" s="100">
        <v>0</v>
      </c>
      <c r="L46" s="100">
        <v>0</v>
      </c>
      <c r="M46" s="101">
        <v>15</v>
      </c>
    </row>
    <row r="47" spans="2:13">
      <c r="B47" s="98"/>
      <c r="C47" s="99" t="s">
        <v>55</v>
      </c>
      <c r="D47" s="94" t="s">
        <v>122</v>
      </c>
      <c r="E47" s="102">
        <v>0</v>
      </c>
      <c r="F47" s="102">
        <v>0</v>
      </c>
      <c r="G47" s="102">
        <v>0</v>
      </c>
      <c r="H47" s="102">
        <v>-11</v>
      </c>
      <c r="I47" s="102">
        <v>0</v>
      </c>
      <c r="J47" s="102">
        <v>-6</v>
      </c>
      <c r="K47" s="102">
        <v>-2</v>
      </c>
      <c r="L47" s="102">
        <v>-15</v>
      </c>
      <c r="M47" s="103">
        <v>-34</v>
      </c>
    </row>
    <row r="48" spans="2:13" ht="24">
      <c r="B48" s="98"/>
      <c r="C48" s="99" t="s">
        <v>57</v>
      </c>
      <c r="D48" s="94" t="s">
        <v>124</v>
      </c>
      <c r="E48" s="212">
        <v>0</v>
      </c>
      <c r="F48" s="212">
        <v>-1</v>
      </c>
      <c r="G48" s="212">
        <v>0</v>
      </c>
      <c r="H48" s="212">
        <v>-5</v>
      </c>
      <c r="I48" s="212">
        <v>-12</v>
      </c>
      <c r="J48" s="212">
        <v>0</v>
      </c>
      <c r="K48" s="212">
        <v>0</v>
      </c>
      <c r="L48" s="212">
        <v>0</v>
      </c>
      <c r="M48" s="213">
        <v>-18</v>
      </c>
    </row>
    <row r="49" spans="2:14" ht="12.75" thickBot="1">
      <c r="B49" s="598" t="s">
        <v>125</v>
      </c>
      <c r="C49" s="599"/>
      <c r="D49" s="105"/>
      <c r="E49" s="106">
        <v>857</v>
      </c>
      <c r="F49" s="106">
        <v>196</v>
      </c>
      <c r="G49" s="106">
        <v>64</v>
      </c>
      <c r="H49" s="106">
        <v>53</v>
      </c>
      <c r="I49" s="106">
        <v>25</v>
      </c>
      <c r="J49" s="106">
        <v>109</v>
      </c>
      <c r="K49" s="106">
        <v>108</v>
      </c>
      <c r="L49" s="106">
        <v>98</v>
      </c>
      <c r="M49" s="107">
        <v>653</v>
      </c>
    </row>
    <row r="50" spans="2:14" ht="4.5" customHeight="1" thickTop="1" thickBot="1">
      <c r="B50" s="108"/>
      <c r="C50" s="109"/>
      <c r="D50" s="110"/>
      <c r="E50" s="109"/>
      <c r="F50" s="111"/>
      <c r="G50" s="111"/>
      <c r="H50" s="111"/>
      <c r="I50" s="111"/>
      <c r="J50" s="111"/>
      <c r="K50" s="111"/>
      <c r="L50" s="111"/>
      <c r="M50" s="112"/>
    </row>
    <row r="51" spans="2:14" ht="12.75" thickBot="1">
      <c r="B51" s="164"/>
      <c r="C51" s="165"/>
      <c r="D51" s="166"/>
      <c r="E51" s="167"/>
      <c r="F51" s="167"/>
      <c r="G51" s="167"/>
      <c r="H51" s="167"/>
      <c r="I51" s="167"/>
      <c r="J51" s="167"/>
      <c r="K51" s="167"/>
      <c r="L51" s="167"/>
      <c r="M51" s="167"/>
    </row>
    <row r="52" spans="2:14" ht="48">
      <c r="B52" s="603" t="s">
        <v>37</v>
      </c>
      <c r="C52" s="604"/>
      <c r="D52" s="116"/>
      <c r="E52" s="117" t="s">
        <v>132</v>
      </c>
      <c r="F52" s="117" t="s">
        <v>133</v>
      </c>
      <c r="G52" s="117" t="s">
        <v>134</v>
      </c>
      <c r="H52" s="118" t="s">
        <v>135</v>
      </c>
      <c r="I52" s="168"/>
      <c r="J52" s="169"/>
      <c r="K52" s="170"/>
      <c r="L52" s="171"/>
      <c r="M52" s="171"/>
    </row>
    <row r="53" spans="2:14">
      <c r="B53" s="596" t="s">
        <v>119</v>
      </c>
      <c r="C53" s="597"/>
      <c r="D53" s="122"/>
      <c r="E53" s="123">
        <v>55</v>
      </c>
      <c r="F53" s="123">
        <v>51</v>
      </c>
      <c r="G53" s="124">
        <v>4.1642141444601218E-2</v>
      </c>
      <c r="H53" s="125">
        <v>4.1136438942310484E-2</v>
      </c>
      <c r="I53" s="172"/>
      <c r="J53" s="173"/>
      <c r="K53" s="170"/>
      <c r="L53" s="171"/>
      <c r="M53" s="171"/>
    </row>
    <row r="54" spans="2:14" ht="12" customHeight="1">
      <c r="B54" s="98"/>
      <c r="C54" s="99" t="s">
        <v>54</v>
      </c>
      <c r="D54" s="122" t="s">
        <v>121</v>
      </c>
      <c r="E54" s="128">
        <v>97</v>
      </c>
      <c r="F54" s="129">
        <v>81</v>
      </c>
      <c r="G54" s="130">
        <v>7.0000000000000007E-2</v>
      </c>
      <c r="H54" s="131">
        <v>7.0000000000000007E-2</v>
      </c>
      <c r="I54" s="172"/>
      <c r="J54" s="172"/>
      <c r="K54" s="172"/>
      <c r="L54" s="172"/>
      <c r="M54" s="174"/>
    </row>
    <row r="55" spans="2:14">
      <c r="B55" s="98"/>
      <c r="C55" s="99" t="s">
        <v>55</v>
      </c>
      <c r="D55" s="122" t="s">
        <v>122</v>
      </c>
      <c r="E55" s="128">
        <v>34</v>
      </c>
      <c r="F55" s="129">
        <v>21</v>
      </c>
      <c r="G55" s="130">
        <v>0.02</v>
      </c>
      <c r="H55" s="131">
        <v>0.02</v>
      </c>
      <c r="I55" s="175"/>
      <c r="J55" s="175"/>
      <c r="K55" s="174"/>
      <c r="L55" s="174"/>
      <c r="M55" s="174"/>
    </row>
    <row r="56" spans="2:14" ht="24">
      <c r="B56" s="98"/>
      <c r="C56" s="99" t="s">
        <v>57</v>
      </c>
      <c r="D56" s="122" t="s">
        <v>124</v>
      </c>
      <c r="E56" s="128">
        <v>18</v>
      </c>
      <c r="F56" s="129">
        <v>-5</v>
      </c>
      <c r="G56" s="139">
        <v>0</v>
      </c>
      <c r="H56" s="131">
        <v>0</v>
      </c>
      <c r="I56" s="176"/>
      <c r="J56" s="176"/>
      <c r="K56" s="177"/>
      <c r="L56" s="174"/>
      <c r="M56" s="174"/>
    </row>
    <row r="57" spans="2:14" ht="12.75" thickBot="1">
      <c r="B57" s="598" t="s">
        <v>125</v>
      </c>
      <c r="C57" s="599"/>
      <c r="D57" s="140"/>
      <c r="E57" s="141">
        <v>204</v>
      </c>
      <c r="F57" s="141">
        <v>148</v>
      </c>
      <c r="G57" s="142">
        <v>0.12</v>
      </c>
      <c r="H57" s="143">
        <v>0.12</v>
      </c>
      <c r="I57" s="178"/>
      <c r="J57" s="167"/>
      <c r="K57" s="167"/>
      <c r="L57" s="167"/>
      <c r="M57" s="167"/>
    </row>
    <row r="58" spans="2:14" ht="4.5" customHeight="1" thickTop="1" thickBot="1">
      <c r="B58" s="145"/>
      <c r="C58" s="146"/>
      <c r="D58" s="147"/>
      <c r="E58" s="148"/>
      <c r="F58" s="148"/>
      <c r="G58" s="148"/>
      <c r="H58" s="149"/>
      <c r="I58" s="171"/>
      <c r="J58" s="167"/>
      <c r="K58" s="167"/>
      <c r="L58" s="167"/>
      <c r="M58" s="167"/>
    </row>
    <row r="59" spans="2:14">
      <c r="B59" s="113"/>
      <c r="C59" s="113"/>
      <c r="D59" s="179"/>
      <c r="E59" s="113"/>
      <c r="F59" s="113"/>
      <c r="G59" s="113"/>
      <c r="H59" s="113"/>
      <c r="I59" s="171"/>
      <c r="J59" s="167"/>
      <c r="K59" s="167"/>
      <c r="L59" s="167"/>
    </row>
    <row r="60" spans="2:14" ht="12.75" thickBot="1"/>
    <row r="61" spans="2:14" ht="60">
      <c r="B61" s="180" t="s">
        <v>39</v>
      </c>
      <c r="C61" s="181"/>
      <c r="D61" s="182"/>
      <c r="E61" s="91" t="s">
        <v>111</v>
      </c>
      <c r="F61" s="91" t="s">
        <v>112</v>
      </c>
      <c r="G61" s="91" t="s">
        <v>257</v>
      </c>
      <c r="H61" s="91" t="s">
        <v>113</v>
      </c>
      <c r="I61" s="91" t="s">
        <v>114</v>
      </c>
      <c r="J61" s="91" t="s">
        <v>115</v>
      </c>
      <c r="K61" s="91" t="s">
        <v>116</v>
      </c>
      <c r="L61" s="91" t="s">
        <v>117</v>
      </c>
      <c r="M61" s="91" t="s">
        <v>140</v>
      </c>
      <c r="N61" s="92" t="s">
        <v>118</v>
      </c>
    </row>
    <row r="62" spans="2:14">
      <c r="B62" s="183" t="s">
        <v>119</v>
      </c>
      <c r="C62" s="184"/>
      <c r="D62" s="185"/>
      <c r="E62" s="123">
        <v>1427</v>
      </c>
      <c r="F62" s="123">
        <v>585</v>
      </c>
      <c r="G62" s="123">
        <f>73+3</f>
        <v>76</v>
      </c>
      <c r="H62" s="123">
        <v>128</v>
      </c>
      <c r="I62" s="123">
        <v>92</v>
      </c>
      <c r="J62" s="123">
        <f>273-3</f>
        <v>270</v>
      </c>
      <c r="K62" s="123">
        <v>225</v>
      </c>
      <c r="L62" s="123">
        <v>122</v>
      </c>
      <c r="M62" s="123">
        <v>326</v>
      </c>
      <c r="N62" s="186">
        <f t="shared" ref="N62:N67" si="1">SUM(F62:M62)</f>
        <v>1824</v>
      </c>
    </row>
    <row r="63" spans="2:14" ht="12" customHeight="1">
      <c r="B63" s="98"/>
      <c r="C63" s="99" t="s">
        <v>54</v>
      </c>
      <c r="D63" s="122" t="s">
        <v>121</v>
      </c>
      <c r="E63" s="129">
        <v>1121</v>
      </c>
      <c r="F63" s="129">
        <v>200</v>
      </c>
      <c r="G63" s="135">
        <v>0</v>
      </c>
      <c r="H63" s="129">
        <v>45</v>
      </c>
      <c r="I63" s="129">
        <v>17</v>
      </c>
      <c r="J63" s="135">
        <v>0</v>
      </c>
      <c r="K63" s="135">
        <v>0</v>
      </c>
      <c r="L63" s="135">
        <v>0</v>
      </c>
      <c r="M63" s="135">
        <v>0</v>
      </c>
      <c r="N63" s="187">
        <f t="shared" si="1"/>
        <v>262</v>
      </c>
    </row>
    <row r="64" spans="2:14">
      <c r="B64" s="98"/>
      <c r="C64" s="99" t="s">
        <v>55</v>
      </c>
      <c r="D64" s="122" t="s">
        <v>122</v>
      </c>
      <c r="E64" s="188">
        <v>0</v>
      </c>
      <c r="F64" s="135">
        <v>0</v>
      </c>
      <c r="G64" s="135">
        <v>0</v>
      </c>
      <c r="H64" s="129">
        <f>+-14</f>
        <v>-14</v>
      </c>
      <c r="I64" s="135">
        <v>0</v>
      </c>
      <c r="J64" s="129">
        <v>-8</v>
      </c>
      <c r="K64" s="129">
        <v>-2</v>
      </c>
      <c r="L64" s="129">
        <v>-13</v>
      </c>
      <c r="M64" s="135">
        <v>0</v>
      </c>
      <c r="N64" s="187">
        <f t="shared" si="1"/>
        <v>-37</v>
      </c>
    </row>
    <row r="65" spans="2:14">
      <c r="B65" s="98"/>
      <c r="C65" s="99" t="s">
        <v>130</v>
      </c>
      <c r="D65" s="122" t="s">
        <v>123</v>
      </c>
      <c r="E65" s="135">
        <v>0</v>
      </c>
      <c r="F65" s="135">
        <v>0</v>
      </c>
      <c r="G65" s="135">
        <v>0</v>
      </c>
      <c r="H65" s="135">
        <v>0</v>
      </c>
      <c r="I65" s="135">
        <v>0</v>
      </c>
      <c r="J65" s="135">
        <v>0</v>
      </c>
      <c r="K65" s="135">
        <v>0</v>
      </c>
      <c r="L65" s="129">
        <v>1</v>
      </c>
      <c r="M65" s="135">
        <v>0</v>
      </c>
      <c r="N65" s="187">
        <f t="shared" si="1"/>
        <v>1</v>
      </c>
    </row>
    <row r="66" spans="2:14" ht="24">
      <c r="B66" s="98"/>
      <c r="C66" s="99" t="s">
        <v>57</v>
      </c>
      <c r="D66" s="94" t="s">
        <v>124</v>
      </c>
      <c r="E66" s="160">
        <v>0</v>
      </c>
      <c r="F66" s="129">
        <v>-2</v>
      </c>
      <c r="G66" s="135">
        <v>0</v>
      </c>
      <c r="H66" s="129">
        <v>-6</v>
      </c>
      <c r="I66" s="129">
        <v>-69</v>
      </c>
      <c r="J66" s="135">
        <v>0</v>
      </c>
      <c r="K66" s="135">
        <v>0</v>
      </c>
      <c r="L66" s="135">
        <v>0</v>
      </c>
      <c r="M66" s="135">
        <v>0</v>
      </c>
      <c r="N66" s="187">
        <f t="shared" si="1"/>
        <v>-77</v>
      </c>
    </row>
    <row r="67" spans="2:14">
      <c r="B67" s="98"/>
      <c r="C67" s="99" t="s">
        <v>58</v>
      </c>
      <c r="D67" s="122" t="s">
        <v>189</v>
      </c>
      <c r="E67" s="135">
        <v>0</v>
      </c>
      <c r="F67" s="135">
        <v>0</v>
      </c>
      <c r="G67" s="135">
        <v>0</v>
      </c>
      <c r="H67" s="135">
        <v>0</v>
      </c>
      <c r="I67" s="135">
        <v>0</v>
      </c>
      <c r="J67" s="135">
        <v>0</v>
      </c>
      <c r="K67" s="135">
        <v>0</v>
      </c>
      <c r="L67" s="135">
        <v>0</v>
      </c>
      <c r="M67" s="129">
        <v>-326</v>
      </c>
      <c r="N67" s="187">
        <f t="shared" si="1"/>
        <v>-326</v>
      </c>
    </row>
    <row r="68" spans="2:14" ht="12.75" thickBot="1">
      <c r="B68" s="189" t="s">
        <v>125</v>
      </c>
      <c r="C68" s="190"/>
      <c r="D68" s="191"/>
      <c r="E68" s="141">
        <f t="shared" ref="E68:N68" si="2">SUM(E62:E67)</f>
        <v>2548</v>
      </c>
      <c r="F68" s="141">
        <f t="shared" si="2"/>
        <v>783</v>
      </c>
      <c r="G68" s="141">
        <f t="shared" si="2"/>
        <v>76</v>
      </c>
      <c r="H68" s="141">
        <f t="shared" si="2"/>
        <v>153</v>
      </c>
      <c r="I68" s="141">
        <f t="shared" si="2"/>
        <v>40</v>
      </c>
      <c r="J68" s="141">
        <f t="shared" si="2"/>
        <v>262</v>
      </c>
      <c r="K68" s="141">
        <f t="shared" si="2"/>
        <v>223</v>
      </c>
      <c r="L68" s="141">
        <f t="shared" si="2"/>
        <v>110</v>
      </c>
      <c r="M68" s="141">
        <f t="shared" si="2"/>
        <v>0</v>
      </c>
      <c r="N68" s="192">
        <f t="shared" si="2"/>
        <v>1647</v>
      </c>
    </row>
    <row r="69" spans="2:14" ht="4.5" customHeight="1" thickTop="1" thickBot="1">
      <c r="B69" s="193"/>
      <c r="C69" s="194"/>
      <c r="D69" s="195"/>
      <c r="E69" s="194"/>
      <c r="F69" s="111"/>
      <c r="G69" s="111"/>
      <c r="H69" s="111"/>
      <c r="I69" s="111"/>
      <c r="J69" s="111"/>
      <c r="K69" s="111"/>
      <c r="L69" s="111"/>
      <c r="M69" s="111"/>
      <c r="N69" s="112"/>
    </row>
    <row r="70" spans="2:14" ht="12.75" thickBot="1">
      <c r="B70" s="196"/>
      <c r="C70" s="197"/>
      <c r="D70" s="198"/>
      <c r="E70" s="197"/>
      <c r="F70" s="197"/>
      <c r="G70" s="197"/>
      <c r="H70" s="197"/>
      <c r="I70" s="197"/>
      <c r="J70" s="197"/>
      <c r="K70" s="197"/>
      <c r="L70" s="197"/>
      <c r="M70" s="197"/>
      <c r="N70" s="197"/>
    </row>
    <row r="71" spans="2:14" ht="60">
      <c r="B71" s="199" t="str">
        <f>B61</f>
        <v>Three Months Ended December 31, 2010</v>
      </c>
      <c r="C71" s="200"/>
      <c r="D71" s="116"/>
      <c r="E71" s="117" t="s">
        <v>126</v>
      </c>
      <c r="F71" s="117" t="s">
        <v>127</v>
      </c>
      <c r="G71" s="117" t="s">
        <v>128</v>
      </c>
      <c r="H71" s="118" t="s">
        <v>129</v>
      </c>
      <c r="I71" s="168"/>
      <c r="J71" s="169"/>
      <c r="K71" s="170"/>
      <c r="L71" s="171"/>
      <c r="M71" s="171"/>
      <c r="N71" s="171"/>
    </row>
    <row r="72" spans="2:14">
      <c r="B72" s="183" t="s">
        <v>119</v>
      </c>
      <c r="C72" s="184"/>
      <c r="D72" s="122"/>
      <c r="E72" s="123">
        <f t="shared" ref="E72:E77" si="3">E62-N62</f>
        <v>-397</v>
      </c>
      <c r="F72" s="123">
        <v>-233</v>
      </c>
      <c r="G72" s="124">
        <v>-0.2</v>
      </c>
      <c r="H72" s="125">
        <v>-0.2</v>
      </c>
      <c r="I72" s="172"/>
      <c r="J72" s="173"/>
      <c r="K72" s="170"/>
      <c r="L72" s="171"/>
      <c r="M72" s="171"/>
      <c r="N72" s="171"/>
    </row>
    <row r="73" spans="2:14" ht="12" customHeight="1">
      <c r="B73" s="98"/>
      <c r="C73" s="99" t="s">
        <v>54</v>
      </c>
      <c r="D73" s="122" t="s">
        <v>121</v>
      </c>
      <c r="E73" s="128">
        <f t="shared" si="3"/>
        <v>859</v>
      </c>
      <c r="F73" s="129">
        <v>628</v>
      </c>
      <c r="G73" s="130">
        <v>0.52</v>
      </c>
      <c r="H73" s="131">
        <v>0.51</v>
      </c>
      <c r="I73" s="172"/>
      <c r="J73" s="172"/>
      <c r="K73" s="172"/>
      <c r="L73" s="172"/>
      <c r="M73" s="172"/>
      <c r="N73" s="174"/>
    </row>
    <row r="74" spans="2:14">
      <c r="B74" s="98"/>
      <c r="C74" s="99" t="s">
        <v>55</v>
      </c>
      <c r="D74" s="122" t="s">
        <v>122</v>
      </c>
      <c r="E74" s="128">
        <f t="shared" si="3"/>
        <v>37</v>
      </c>
      <c r="F74" s="129">
        <v>24</v>
      </c>
      <c r="G74" s="130">
        <v>0.02</v>
      </c>
      <c r="H74" s="131">
        <v>0.02</v>
      </c>
      <c r="I74" s="175"/>
      <c r="J74" s="175"/>
      <c r="K74" s="174"/>
      <c r="L74" s="174"/>
      <c r="M74" s="174"/>
      <c r="N74" s="174"/>
    </row>
    <row r="75" spans="2:14">
      <c r="B75" s="98"/>
      <c r="C75" s="99" t="s">
        <v>130</v>
      </c>
      <c r="D75" s="122" t="s">
        <v>123</v>
      </c>
      <c r="E75" s="128">
        <f t="shared" si="3"/>
        <v>-1</v>
      </c>
      <c r="F75" s="135">
        <v>0</v>
      </c>
      <c r="G75" s="135">
        <v>0</v>
      </c>
      <c r="H75" s="136">
        <v>0</v>
      </c>
      <c r="I75" s="176"/>
      <c r="J75" s="176"/>
      <c r="K75" s="177"/>
      <c r="L75" s="174"/>
      <c r="M75" s="174"/>
      <c r="N75" s="174"/>
    </row>
    <row r="76" spans="2:14" ht="24">
      <c r="B76" s="98"/>
      <c r="C76" s="99" t="s">
        <v>57</v>
      </c>
      <c r="D76" s="94" t="s">
        <v>124</v>
      </c>
      <c r="E76" s="201">
        <f t="shared" si="3"/>
        <v>77</v>
      </c>
      <c r="F76" s="129">
        <v>38</v>
      </c>
      <c r="G76" s="130">
        <v>0.03</v>
      </c>
      <c r="H76" s="131">
        <v>0.03</v>
      </c>
      <c r="I76" s="176"/>
      <c r="J76" s="176"/>
      <c r="K76" s="177"/>
      <c r="L76" s="174"/>
      <c r="M76" s="174"/>
      <c r="N76" s="174"/>
    </row>
    <row r="77" spans="2:14">
      <c r="B77" s="98"/>
      <c r="C77" s="99" t="s">
        <v>58</v>
      </c>
      <c r="D77" s="122" t="s">
        <v>189</v>
      </c>
      <c r="E77" s="128">
        <f t="shared" si="3"/>
        <v>326</v>
      </c>
      <c r="F77" s="129">
        <v>198</v>
      </c>
      <c r="G77" s="139">
        <v>0.16</v>
      </c>
      <c r="H77" s="202">
        <v>0.16</v>
      </c>
      <c r="I77" s="176"/>
      <c r="J77" s="176"/>
      <c r="K77" s="177"/>
      <c r="L77" s="174"/>
      <c r="M77" s="174"/>
      <c r="N77" s="174"/>
    </row>
    <row r="78" spans="2:14" ht="12.75" thickBot="1">
      <c r="B78" s="189" t="s">
        <v>125</v>
      </c>
      <c r="C78" s="190"/>
      <c r="D78" s="203"/>
      <c r="E78" s="141">
        <f>SUM(E72:E77)</f>
        <v>901</v>
      </c>
      <c r="F78" s="141">
        <f>SUM(F72:F77)</f>
        <v>655</v>
      </c>
      <c r="G78" s="142">
        <v>0.54</v>
      </c>
      <c r="H78" s="143">
        <v>0.53</v>
      </c>
      <c r="I78" s="178"/>
      <c r="J78" s="167"/>
      <c r="K78" s="167"/>
      <c r="L78" s="167"/>
      <c r="M78" s="167"/>
      <c r="N78" s="167"/>
    </row>
    <row r="79" spans="2:14" ht="4.5" customHeight="1" thickTop="1" thickBot="1">
      <c r="B79" s="204"/>
      <c r="C79" s="205"/>
      <c r="D79" s="206"/>
      <c r="E79" s="207"/>
      <c r="F79" s="207"/>
      <c r="G79" s="207"/>
      <c r="H79" s="208"/>
      <c r="I79" s="171"/>
      <c r="J79" s="167"/>
      <c r="K79" s="167"/>
      <c r="L79" s="167"/>
      <c r="M79" s="167"/>
      <c r="N79" s="167"/>
    </row>
    <row r="82" spans="2:14">
      <c r="B82" s="209"/>
      <c r="C82" s="601" t="s">
        <v>136</v>
      </c>
      <c r="D82" s="601"/>
      <c r="E82" s="601"/>
      <c r="F82" s="601"/>
      <c r="G82" s="601"/>
      <c r="H82" s="601"/>
      <c r="I82" s="601"/>
      <c r="J82" s="601"/>
      <c r="K82" s="601"/>
      <c r="L82" s="601"/>
      <c r="M82" s="601"/>
      <c r="N82" s="601"/>
    </row>
    <row r="83" spans="2:14">
      <c r="B83" s="209"/>
      <c r="C83" s="600" t="s">
        <v>137</v>
      </c>
      <c r="D83" s="600"/>
      <c r="E83" s="600"/>
      <c r="F83" s="600"/>
      <c r="G83" s="600"/>
      <c r="H83" s="600"/>
      <c r="I83" s="600"/>
      <c r="J83" s="600"/>
      <c r="K83" s="600"/>
      <c r="L83" s="600"/>
      <c r="M83" s="600"/>
      <c r="N83" s="600"/>
    </row>
    <row r="84" spans="2:14" ht="25.5" customHeight="1">
      <c r="B84" s="210"/>
      <c r="C84" s="595" t="s">
        <v>187</v>
      </c>
      <c r="D84" s="595"/>
      <c r="E84" s="595"/>
      <c r="F84" s="595"/>
      <c r="G84" s="595"/>
      <c r="H84" s="595"/>
      <c r="I84" s="595"/>
      <c r="J84" s="595"/>
      <c r="K84" s="595"/>
      <c r="L84" s="595"/>
      <c r="M84" s="595"/>
      <c r="N84" s="595"/>
    </row>
    <row r="85" spans="2:14">
      <c r="B85" s="210"/>
      <c r="C85" s="601" t="s">
        <v>151</v>
      </c>
      <c r="D85" s="601"/>
      <c r="E85" s="601"/>
      <c r="F85" s="601"/>
      <c r="G85" s="601"/>
      <c r="H85" s="601"/>
      <c r="I85" s="601"/>
      <c r="J85" s="601"/>
      <c r="K85" s="601"/>
      <c r="L85" s="601"/>
      <c r="M85" s="601"/>
      <c r="N85" s="601"/>
    </row>
    <row r="86" spans="2:14">
      <c r="B86" s="210"/>
      <c r="C86" s="601" t="s">
        <v>147</v>
      </c>
      <c r="D86" s="601"/>
      <c r="E86" s="601"/>
      <c r="F86" s="601"/>
      <c r="G86" s="601"/>
      <c r="H86" s="601"/>
      <c r="I86" s="601"/>
      <c r="J86" s="601"/>
      <c r="K86" s="601"/>
      <c r="L86" s="601"/>
      <c r="M86" s="601"/>
      <c r="N86" s="601"/>
    </row>
    <row r="87" spans="2:14">
      <c r="B87" s="210"/>
      <c r="C87" s="601" t="s">
        <v>190</v>
      </c>
      <c r="D87" s="601"/>
      <c r="E87" s="601"/>
      <c r="F87" s="601"/>
      <c r="G87" s="601"/>
      <c r="H87" s="601"/>
      <c r="I87" s="601"/>
      <c r="J87" s="601"/>
      <c r="K87" s="601"/>
      <c r="L87" s="601"/>
      <c r="M87" s="601"/>
      <c r="N87" s="601"/>
    </row>
    <row r="88" spans="2:14">
      <c r="B88" s="210"/>
      <c r="C88" s="211"/>
      <c r="D88" s="211"/>
      <c r="E88" s="211"/>
      <c r="F88" s="211"/>
      <c r="G88" s="211"/>
      <c r="H88" s="211"/>
      <c r="I88" s="211"/>
      <c r="J88" s="211"/>
      <c r="K88" s="211"/>
      <c r="L88" s="211"/>
      <c r="M88" s="211"/>
      <c r="N88" s="211"/>
    </row>
    <row r="89" spans="2:14" ht="24" customHeight="1">
      <c r="B89" s="210"/>
      <c r="C89" s="595" t="s">
        <v>139</v>
      </c>
      <c r="D89" s="595"/>
      <c r="E89" s="595"/>
      <c r="F89" s="595"/>
      <c r="G89" s="595"/>
      <c r="H89" s="595"/>
      <c r="I89" s="595"/>
      <c r="J89" s="595"/>
      <c r="K89" s="595"/>
      <c r="L89" s="595"/>
      <c r="M89" s="595"/>
      <c r="N89" s="595"/>
    </row>
  </sheetData>
  <sheetProtection formatCells="0" formatColumns="0" formatRows="0" sort="0" autoFilter="0" pivotTables="0"/>
  <mergeCells count="28">
    <mergeCell ref="C89:N89"/>
    <mergeCell ref="B16:C16"/>
    <mergeCell ref="B21:C21"/>
    <mergeCell ref="C82:N82"/>
    <mergeCell ref="C83:N83"/>
    <mergeCell ref="C84:N84"/>
    <mergeCell ref="B25:C25"/>
    <mergeCell ref="B26:C26"/>
    <mergeCell ref="B31:C31"/>
    <mergeCell ref="B34:C34"/>
    <mergeCell ref="B35:C35"/>
    <mergeCell ref="B40:C40"/>
    <mergeCell ref="B1:N1"/>
    <mergeCell ref="B2:N2"/>
    <mergeCell ref="B3:N3"/>
    <mergeCell ref="B7:C7"/>
    <mergeCell ref="B6:C6"/>
    <mergeCell ref="B12:C12"/>
    <mergeCell ref="B15:C15"/>
    <mergeCell ref="C87:N87"/>
    <mergeCell ref="B53:C53"/>
    <mergeCell ref="B57:C57"/>
    <mergeCell ref="B44:C44"/>
    <mergeCell ref="C86:N86"/>
    <mergeCell ref="B45:C45"/>
    <mergeCell ref="B49:C49"/>
    <mergeCell ref="B52:C52"/>
    <mergeCell ref="C85:N85"/>
  </mergeCells>
  <pageMargins left="0.7" right="0.7" top="0.25" bottom="0.44" header="0.3" footer="0.3"/>
  <pageSetup scale="48" orientation="portrait" r:id="rId1"/>
  <headerFooter>
    <oddFooter>&amp;LActivision Blizzard, Inc.&amp;R&amp;P of &amp; 17</oddFooter>
  </headerFooter>
  <rowBreaks count="1" manualBreakCount="1">
    <brk id="43" min="1" max="1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95"/>
  <sheetViews>
    <sheetView view="pageBreakPreview" zoomScale="70" zoomScaleNormal="100" zoomScaleSheetLayoutView="70" workbookViewId="0"/>
  </sheetViews>
  <sheetFormatPr defaultRowHeight="12"/>
  <cols>
    <col min="1" max="1" width="2" style="217" customWidth="1"/>
    <col min="2" max="2" width="1.42578125" style="217" customWidth="1"/>
    <col min="3" max="3" width="57.140625" style="217" customWidth="1"/>
    <col min="4" max="4" width="4.5703125" style="268" bestFit="1" customWidth="1"/>
    <col min="5" max="5" width="9.28515625" style="217" customWidth="1"/>
    <col min="6" max="6" width="8.28515625" style="217" customWidth="1"/>
    <col min="7" max="7" width="12.7109375" style="217" customWidth="1"/>
    <col min="8" max="8" width="10.7109375" style="217" customWidth="1"/>
    <col min="9" max="9" width="9.28515625" style="217" customWidth="1"/>
    <col min="10" max="10" width="11.5703125" style="217" bestFit="1" customWidth="1"/>
    <col min="11" max="11" width="9.140625" style="217" bestFit="1" customWidth="1"/>
    <col min="12" max="12" width="12.7109375" style="217" bestFit="1" customWidth="1"/>
    <col min="13" max="13" width="12.140625" style="217" bestFit="1" customWidth="1"/>
    <col min="14" max="14" width="12.5703125" style="217" customWidth="1"/>
    <col min="15" max="15" width="12.42578125" style="217" customWidth="1"/>
    <col min="16" max="16384" width="9.140625" style="217"/>
  </cols>
  <sheetData>
    <row r="1" spans="2:14">
      <c r="B1" s="602" t="s">
        <v>76</v>
      </c>
      <c r="C1" s="602"/>
      <c r="D1" s="602"/>
      <c r="E1" s="602"/>
      <c r="F1" s="602"/>
      <c r="G1" s="602"/>
      <c r="H1" s="602"/>
      <c r="I1" s="602"/>
      <c r="J1" s="602"/>
      <c r="K1" s="602"/>
      <c r="L1" s="602"/>
      <c r="M1" s="602"/>
      <c r="N1" s="602"/>
    </row>
    <row r="2" spans="2:14">
      <c r="B2" s="602" t="s">
        <v>296</v>
      </c>
      <c r="C2" s="602"/>
      <c r="D2" s="602"/>
      <c r="E2" s="602"/>
      <c r="F2" s="602"/>
      <c r="G2" s="602"/>
      <c r="H2" s="602"/>
      <c r="I2" s="602"/>
      <c r="J2" s="602"/>
      <c r="K2" s="602"/>
      <c r="L2" s="602"/>
      <c r="M2" s="602"/>
      <c r="N2" s="602"/>
    </row>
    <row r="3" spans="2:14">
      <c r="B3" s="602" t="s">
        <v>110</v>
      </c>
      <c r="C3" s="602"/>
      <c r="D3" s="602"/>
      <c r="E3" s="602"/>
      <c r="F3" s="602"/>
      <c r="G3" s="602"/>
      <c r="H3" s="602"/>
      <c r="I3" s="602"/>
      <c r="J3" s="602"/>
      <c r="K3" s="602"/>
      <c r="L3" s="602"/>
      <c r="M3" s="602"/>
      <c r="N3" s="602"/>
    </row>
    <row r="4" spans="2:14">
      <c r="B4" s="85"/>
      <c r="C4" s="85"/>
      <c r="D4" s="85"/>
      <c r="E4" s="85"/>
      <c r="F4" s="85"/>
      <c r="G4" s="85"/>
      <c r="H4" s="85"/>
      <c r="I4" s="85"/>
      <c r="J4" s="85"/>
      <c r="K4" s="85"/>
      <c r="L4" s="85"/>
      <c r="M4" s="85"/>
      <c r="N4" s="85"/>
    </row>
    <row r="5" spans="2:14" ht="12.75" thickBot="1">
      <c r="B5" s="86"/>
      <c r="C5" s="87"/>
      <c r="D5" s="88"/>
      <c r="E5" s="87"/>
      <c r="F5" s="87"/>
      <c r="G5" s="88"/>
      <c r="H5" s="88"/>
      <c r="I5" s="88"/>
      <c r="J5" s="88"/>
    </row>
    <row r="6" spans="2:14" ht="62.25" customHeight="1">
      <c r="B6" s="218" t="s">
        <v>154</v>
      </c>
      <c r="C6" s="219"/>
      <c r="D6" s="182"/>
      <c r="E6" s="220" t="s">
        <v>111</v>
      </c>
      <c r="F6" s="220" t="s">
        <v>112</v>
      </c>
      <c r="G6" s="220" t="s">
        <v>113</v>
      </c>
      <c r="H6" s="220" t="s">
        <v>114</v>
      </c>
      <c r="I6" s="91" t="s">
        <v>257</v>
      </c>
      <c r="J6" s="220" t="s">
        <v>115</v>
      </c>
      <c r="K6" s="220" t="s">
        <v>116</v>
      </c>
      <c r="L6" s="220" t="s">
        <v>117</v>
      </c>
      <c r="M6" s="220" t="s">
        <v>50</v>
      </c>
      <c r="N6" s="92" t="s">
        <v>118</v>
      </c>
    </row>
    <row r="7" spans="2:14">
      <c r="B7" s="221" t="s">
        <v>119</v>
      </c>
      <c r="C7" s="222"/>
      <c r="D7" s="185"/>
      <c r="E7" s="223">
        <v>981</v>
      </c>
      <c r="F7" s="223">
        <v>296</v>
      </c>
      <c r="G7" s="223">
        <v>72</v>
      </c>
      <c r="H7" s="223">
        <v>64</v>
      </c>
      <c r="I7" s="223">
        <v>52</v>
      </c>
      <c r="J7" s="223">
        <v>117</v>
      </c>
      <c r="K7" s="223">
        <v>83</v>
      </c>
      <c r="L7" s="223">
        <v>103</v>
      </c>
      <c r="M7" s="223">
        <v>15</v>
      </c>
      <c r="N7" s="224">
        <v>802</v>
      </c>
    </row>
    <row r="8" spans="2:14">
      <c r="B8" s="98"/>
      <c r="C8" s="225" t="s">
        <v>54</v>
      </c>
      <c r="D8" s="122" t="s">
        <v>121</v>
      </c>
      <c r="E8" s="226">
        <v>-256</v>
      </c>
      <c r="F8" s="226">
        <v>-57</v>
      </c>
      <c r="G8" s="226">
        <v>-23</v>
      </c>
      <c r="H8" s="226">
        <v>-9</v>
      </c>
      <c r="I8" s="226">
        <v>0</v>
      </c>
      <c r="J8" s="226">
        <v>0</v>
      </c>
      <c r="K8" s="226">
        <v>0</v>
      </c>
      <c r="L8" s="226">
        <v>0</v>
      </c>
      <c r="M8" s="226">
        <v>0</v>
      </c>
      <c r="N8" s="227">
        <v>-89</v>
      </c>
    </row>
    <row r="9" spans="2:14" ht="24">
      <c r="B9" s="98"/>
      <c r="C9" s="99" t="s">
        <v>149</v>
      </c>
      <c r="D9" s="122" t="s">
        <v>122</v>
      </c>
      <c r="E9" s="226">
        <v>0</v>
      </c>
      <c r="F9" s="226">
        <v>0</v>
      </c>
      <c r="G9" s="226">
        <v>-4</v>
      </c>
      <c r="H9" s="226">
        <v>0</v>
      </c>
      <c r="I9" s="226">
        <v>0</v>
      </c>
      <c r="J9" s="226">
        <v>-9</v>
      </c>
      <c r="K9" s="226">
        <v>-3</v>
      </c>
      <c r="L9" s="226">
        <v>-12</v>
      </c>
      <c r="M9" s="226">
        <v>0</v>
      </c>
      <c r="N9" s="227">
        <v>-28</v>
      </c>
    </row>
    <row r="10" spans="2:14">
      <c r="B10" s="98"/>
      <c r="C10" s="99" t="s">
        <v>141</v>
      </c>
      <c r="D10" s="122" t="s">
        <v>142</v>
      </c>
      <c r="E10" s="226">
        <v>-1</v>
      </c>
      <c r="F10" s="226">
        <v>0</v>
      </c>
      <c r="G10" s="226">
        <v>0</v>
      </c>
      <c r="H10" s="226">
        <v>0</v>
      </c>
      <c r="I10" s="226">
        <v>0</v>
      </c>
      <c r="J10" s="226">
        <v>3</v>
      </c>
      <c r="K10" s="226">
        <v>-2</v>
      </c>
      <c r="L10" s="226">
        <v>-6</v>
      </c>
      <c r="M10" s="226">
        <v>0</v>
      </c>
      <c r="N10" s="227">
        <v>-5</v>
      </c>
    </row>
    <row r="11" spans="2:14" ht="24">
      <c r="B11" s="98"/>
      <c r="C11" s="99" t="s">
        <v>59</v>
      </c>
      <c r="D11" s="228" t="s">
        <v>131</v>
      </c>
      <c r="E11" s="226">
        <v>0</v>
      </c>
      <c r="F11" s="226">
        <v>0</v>
      </c>
      <c r="G11" s="226">
        <v>0</v>
      </c>
      <c r="H11" s="226">
        <v>0</v>
      </c>
      <c r="I11" s="226">
        <v>0</v>
      </c>
      <c r="J11" s="226">
        <v>0</v>
      </c>
      <c r="K11" s="226">
        <v>0</v>
      </c>
      <c r="L11" s="226">
        <v>-14</v>
      </c>
      <c r="M11" s="226">
        <v>-15</v>
      </c>
      <c r="N11" s="227">
        <v>-29</v>
      </c>
    </row>
    <row r="12" spans="2:14" ht="24">
      <c r="B12" s="98"/>
      <c r="C12" s="229" t="s">
        <v>143</v>
      </c>
      <c r="D12" s="228" t="s">
        <v>124</v>
      </c>
      <c r="E12" s="226">
        <v>0</v>
      </c>
      <c r="F12" s="226">
        <v>-1</v>
      </c>
      <c r="G12" s="226">
        <v>-17</v>
      </c>
      <c r="H12" s="226">
        <v>-27</v>
      </c>
      <c r="I12" s="226">
        <v>0</v>
      </c>
      <c r="J12" s="226">
        <v>0</v>
      </c>
      <c r="K12" s="226">
        <v>0</v>
      </c>
      <c r="L12" s="226">
        <v>-1</v>
      </c>
      <c r="M12" s="226">
        <v>0</v>
      </c>
      <c r="N12" s="227">
        <v>-46</v>
      </c>
    </row>
    <row r="13" spans="2:14" ht="12.75" thickBot="1">
      <c r="B13" s="230" t="s">
        <v>125</v>
      </c>
      <c r="C13" s="231"/>
      <c r="D13" s="232"/>
      <c r="E13" s="233">
        <v>724</v>
      </c>
      <c r="F13" s="233">
        <v>238</v>
      </c>
      <c r="G13" s="233">
        <v>28</v>
      </c>
      <c r="H13" s="233">
        <v>28</v>
      </c>
      <c r="I13" s="233">
        <v>52</v>
      </c>
      <c r="J13" s="233">
        <v>111</v>
      </c>
      <c r="K13" s="233">
        <v>78</v>
      </c>
      <c r="L13" s="233">
        <v>70</v>
      </c>
      <c r="M13" s="233">
        <v>0</v>
      </c>
      <c r="N13" s="234">
        <v>605</v>
      </c>
    </row>
    <row r="14" spans="2:14" ht="5.25" customHeight="1" thickTop="1" thickBot="1">
      <c r="B14" s="235"/>
      <c r="C14" s="236"/>
      <c r="D14" s="237"/>
      <c r="E14" s="236"/>
      <c r="F14" s="236"/>
      <c r="G14" s="236"/>
      <c r="H14" s="236"/>
      <c r="I14" s="236"/>
      <c r="J14" s="236"/>
      <c r="K14" s="236"/>
      <c r="L14" s="236"/>
      <c r="M14" s="236"/>
      <c r="N14" s="238"/>
    </row>
    <row r="15" spans="2:14" ht="12.75" thickBot="1">
      <c r="B15" s="239"/>
      <c r="C15" s="240"/>
      <c r="D15" s="241"/>
      <c r="E15" s="240"/>
      <c r="F15" s="240"/>
      <c r="G15" s="240"/>
      <c r="H15" s="240"/>
      <c r="I15" s="240"/>
      <c r="J15" s="240"/>
      <c r="K15" s="240"/>
      <c r="L15" s="240"/>
      <c r="M15" s="240"/>
      <c r="N15" s="240"/>
    </row>
    <row r="16" spans="2:14" ht="36">
      <c r="B16" s="242" t="s">
        <v>154</v>
      </c>
      <c r="C16" s="243"/>
      <c r="D16" s="116"/>
      <c r="E16" s="244" t="s">
        <v>132</v>
      </c>
      <c r="F16" s="244" t="s">
        <v>133</v>
      </c>
      <c r="G16" s="244" t="s">
        <v>134</v>
      </c>
      <c r="H16" s="118" t="s">
        <v>135</v>
      </c>
      <c r="I16" s="119"/>
      <c r="J16" s="245" t="s">
        <v>153</v>
      </c>
      <c r="K16" s="246">
        <v>591</v>
      </c>
      <c r="L16" s="239"/>
      <c r="M16" s="239"/>
      <c r="N16" s="239"/>
    </row>
    <row r="17" spans="2:14">
      <c r="B17" s="98" t="s">
        <v>119</v>
      </c>
      <c r="C17" s="225"/>
      <c r="D17" s="122"/>
      <c r="E17" s="247">
        <v>179</v>
      </c>
      <c r="F17" s="223">
        <v>189</v>
      </c>
      <c r="G17" s="248">
        <v>0.14449541284403669</v>
      </c>
      <c r="H17" s="249">
        <v>0.13907284768211919</v>
      </c>
      <c r="I17" s="250"/>
      <c r="J17" s="240"/>
      <c r="K17" s="240"/>
      <c r="L17" s="240"/>
      <c r="M17" s="240"/>
      <c r="N17" s="251"/>
    </row>
    <row r="18" spans="2:14" ht="24">
      <c r="B18" s="98"/>
      <c r="C18" s="99" t="s">
        <v>54</v>
      </c>
      <c r="D18" s="122" t="s">
        <v>121</v>
      </c>
      <c r="E18" s="252">
        <v>-167</v>
      </c>
      <c r="F18" s="226">
        <v>-134</v>
      </c>
      <c r="G18" s="253">
        <v>-9.1649684193661582E-2</v>
      </c>
      <c r="H18" s="254">
        <v>-8.7873867695099542E-2</v>
      </c>
      <c r="I18" s="250"/>
      <c r="J18" s="240"/>
      <c r="K18" s="240"/>
      <c r="L18" s="240"/>
      <c r="M18" s="240"/>
      <c r="N18" s="255"/>
    </row>
    <row r="19" spans="2:14" ht="24">
      <c r="B19" s="98"/>
      <c r="C19" s="99" t="s">
        <v>149</v>
      </c>
      <c r="D19" s="122" t="s">
        <v>122</v>
      </c>
      <c r="E19" s="252">
        <v>28</v>
      </c>
      <c r="F19" s="226">
        <v>17</v>
      </c>
      <c r="G19" s="253">
        <v>1.2895855457404827E-2</v>
      </c>
      <c r="H19" s="254">
        <v>1.2416833961318598E-2</v>
      </c>
      <c r="I19" s="256"/>
      <c r="J19" s="240"/>
      <c r="K19" s="240"/>
      <c r="L19" s="240"/>
      <c r="M19" s="240"/>
      <c r="N19" s="255"/>
    </row>
    <row r="20" spans="2:14">
      <c r="B20" s="98"/>
      <c r="C20" s="99" t="s">
        <v>141</v>
      </c>
      <c r="D20" s="122" t="s">
        <v>142</v>
      </c>
      <c r="E20" s="252">
        <v>4</v>
      </c>
      <c r="F20" s="226">
        <v>3</v>
      </c>
      <c r="G20" s="253">
        <v>2.2757391983655581E-3</v>
      </c>
      <c r="H20" s="254">
        <v>2.1912059931738703E-3</v>
      </c>
      <c r="I20" s="257"/>
      <c r="J20" s="240"/>
      <c r="K20" s="240"/>
      <c r="L20" s="240"/>
      <c r="M20" s="240"/>
      <c r="N20" s="255"/>
    </row>
    <row r="21" spans="2:14" ht="24">
      <c r="B21" s="98"/>
      <c r="C21" s="99" t="s">
        <v>59</v>
      </c>
      <c r="D21" s="228" t="s">
        <v>131</v>
      </c>
      <c r="E21" s="252">
        <v>29</v>
      </c>
      <c r="F21" s="226">
        <v>17</v>
      </c>
      <c r="G21" s="253">
        <v>1.2895855457404827E-2</v>
      </c>
      <c r="H21" s="254">
        <v>1.2416833961318598E-2</v>
      </c>
      <c r="I21" s="257"/>
      <c r="J21" s="240"/>
      <c r="K21" s="240"/>
      <c r="L21" s="240"/>
      <c r="M21" s="240"/>
      <c r="N21" s="255"/>
    </row>
    <row r="22" spans="2:14" ht="24">
      <c r="B22" s="98"/>
      <c r="C22" s="229" t="s">
        <v>143</v>
      </c>
      <c r="D22" s="228" t="s">
        <v>124</v>
      </c>
      <c r="E22" s="252">
        <v>46</v>
      </c>
      <c r="F22" s="252">
        <v>19</v>
      </c>
      <c r="G22" s="253">
        <v>1.4413014922981866E-2</v>
      </c>
      <c r="H22" s="254">
        <v>1.3877637956767845E-2</v>
      </c>
      <c r="I22" s="257"/>
      <c r="J22" s="240"/>
      <c r="K22" s="240"/>
      <c r="L22" s="240"/>
      <c r="M22" s="240"/>
      <c r="N22" s="255"/>
    </row>
    <row r="23" spans="2:14" ht="12.75" thickBot="1">
      <c r="B23" s="258" t="s">
        <v>125</v>
      </c>
      <c r="C23" s="239"/>
      <c r="D23" s="259"/>
      <c r="E23" s="233">
        <v>119</v>
      </c>
      <c r="F23" s="233">
        <v>111</v>
      </c>
      <c r="G23" s="260">
        <v>8.4202350339525639E-2</v>
      </c>
      <c r="H23" s="261">
        <v>8.1074621747433198E-2</v>
      </c>
      <c r="J23" s="240"/>
      <c r="K23" s="240"/>
      <c r="L23" s="240"/>
      <c r="M23" s="240"/>
      <c r="N23" s="255"/>
    </row>
    <row r="24" spans="2:14" ht="5.25" customHeight="1" thickTop="1" thickBot="1">
      <c r="B24" s="262"/>
      <c r="C24" s="263"/>
      <c r="D24" s="264"/>
      <c r="E24" s="265"/>
      <c r="F24" s="265"/>
      <c r="G24" s="266"/>
      <c r="H24" s="267"/>
      <c r="I24" s="239"/>
      <c r="J24" s="240" t="s">
        <v>250</v>
      </c>
      <c r="K24" s="240"/>
      <c r="L24" s="240"/>
      <c r="M24" s="240"/>
      <c r="N24" s="240"/>
    </row>
    <row r="26" spans="2:14" ht="12.75" thickBot="1"/>
    <row r="27" spans="2:14" ht="60" customHeight="1">
      <c r="B27" s="218" t="s">
        <v>152</v>
      </c>
      <c r="C27" s="219"/>
      <c r="D27" s="182"/>
      <c r="E27" s="220" t="s">
        <v>111</v>
      </c>
      <c r="F27" s="220" t="s">
        <v>112</v>
      </c>
      <c r="G27" s="220" t="s">
        <v>113</v>
      </c>
      <c r="H27" s="220" t="s">
        <v>114</v>
      </c>
      <c r="I27" s="91" t="s">
        <v>257</v>
      </c>
      <c r="J27" s="220" t="s">
        <v>115</v>
      </c>
      <c r="K27" s="220" t="s">
        <v>116</v>
      </c>
      <c r="L27" s="220" t="s">
        <v>117</v>
      </c>
      <c r="M27" s="220" t="s">
        <v>50</v>
      </c>
      <c r="N27" s="92" t="s">
        <v>118</v>
      </c>
    </row>
    <row r="28" spans="2:14">
      <c r="B28" s="221" t="s">
        <v>119</v>
      </c>
      <c r="C28" s="222"/>
      <c r="D28" s="185"/>
      <c r="E28" s="269">
        <v>1038</v>
      </c>
      <c r="F28" s="269">
        <v>281</v>
      </c>
      <c r="G28" s="269">
        <v>86</v>
      </c>
      <c r="H28" s="269">
        <v>54</v>
      </c>
      <c r="I28" s="269">
        <v>51</v>
      </c>
      <c r="J28" s="269">
        <v>123</v>
      </c>
      <c r="K28" s="269">
        <v>118</v>
      </c>
      <c r="L28" s="269">
        <v>92</v>
      </c>
      <c r="M28" s="269">
        <v>15</v>
      </c>
      <c r="N28" s="270">
        <v>820</v>
      </c>
    </row>
    <row r="29" spans="2:14" ht="24">
      <c r="B29" s="98"/>
      <c r="C29" s="99" t="s">
        <v>54</v>
      </c>
      <c r="D29" s="122" t="s">
        <v>121</v>
      </c>
      <c r="E29" s="271">
        <v>-237</v>
      </c>
      <c r="F29" s="271">
        <v>-43</v>
      </c>
      <c r="G29" s="271">
        <v>-28</v>
      </c>
      <c r="H29" s="271">
        <v>-2</v>
      </c>
      <c r="I29" s="271">
        <v>0</v>
      </c>
      <c r="J29" s="271">
        <v>0</v>
      </c>
      <c r="K29" s="271">
        <v>0</v>
      </c>
      <c r="L29" s="271">
        <v>0</v>
      </c>
      <c r="M29" s="271">
        <v>0</v>
      </c>
      <c r="N29" s="272">
        <v>-73</v>
      </c>
    </row>
    <row r="30" spans="2:14" ht="24">
      <c r="B30" s="98"/>
      <c r="C30" s="99" t="s">
        <v>149</v>
      </c>
      <c r="D30" s="122" t="s">
        <v>122</v>
      </c>
      <c r="E30" s="271">
        <v>0</v>
      </c>
      <c r="F30" s="271">
        <v>0</v>
      </c>
      <c r="G30" s="271">
        <v>-10</v>
      </c>
      <c r="H30" s="271">
        <v>0</v>
      </c>
      <c r="I30" s="271">
        <v>0</v>
      </c>
      <c r="J30" s="271">
        <v>-8</v>
      </c>
      <c r="K30" s="271">
        <v>-4</v>
      </c>
      <c r="L30" s="271">
        <v>-21</v>
      </c>
      <c r="M30" s="271">
        <v>0</v>
      </c>
      <c r="N30" s="272">
        <v>-43</v>
      </c>
    </row>
    <row r="31" spans="2:14">
      <c r="B31" s="98"/>
      <c r="C31" s="99" t="s">
        <v>141</v>
      </c>
      <c r="D31" s="122" t="s">
        <v>142</v>
      </c>
      <c r="E31" s="271">
        <v>0</v>
      </c>
      <c r="F31" s="271">
        <v>0</v>
      </c>
      <c r="G31" s="271">
        <v>0</v>
      </c>
      <c r="H31" s="271">
        <v>0</v>
      </c>
      <c r="I31" s="271">
        <v>0</v>
      </c>
      <c r="J31" s="271">
        <v>1</v>
      </c>
      <c r="K31" s="271">
        <v>0</v>
      </c>
      <c r="L31" s="271">
        <v>-4</v>
      </c>
      <c r="M31" s="271">
        <v>0</v>
      </c>
      <c r="N31" s="272">
        <v>-3</v>
      </c>
    </row>
    <row r="32" spans="2:14" ht="24">
      <c r="B32" s="98"/>
      <c r="C32" s="99" t="s">
        <v>59</v>
      </c>
      <c r="D32" s="228" t="s">
        <v>131</v>
      </c>
      <c r="E32" s="271">
        <v>0</v>
      </c>
      <c r="F32" s="271">
        <v>0</v>
      </c>
      <c r="G32" s="271">
        <v>0</v>
      </c>
      <c r="H32" s="271">
        <v>0</v>
      </c>
      <c r="I32" s="271">
        <v>0</v>
      </c>
      <c r="J32" s="271">
        <v>0</v>
      </c>
      <c r="K32" s="271">
        <v>0</v>
      </c>
      <c r="L32" s="271">
        <v>-3</v>
      </c>
      <c r="M32" s="271">
        <v>-15</v>
      </c>
      <c r="N32" s="272">
        <v>-18</v>
      </c>
    </row>
    <row r="33" spans="2:14" ht="24">
      <c r="B33" s="98"/>
      <c r="C33" s="229" t="s">
        <v>143</v>
      </c>
      <c r="D33" s="228" t="s">
        <v>124</v>
      </c>
      <c r="E33" s="271">
        <v>0</v>
      </c>
      <c r="F33" s="271">
        <v>-1</v>
      </c>
      <c r="G33" s="271">
        <v>-12</v>
      </c>
      <c r="H33" s="271">
        <v>-24</v>
      </c>
      <c r="I33" s="271">
        <v>0</v>
      </c>
      <c r="J33" s="271">
        <v>0</v>
      </c>
      <c r="K33" s="271">
        <v>0</v>
      </c>
      <c r="L33" s="271">
        <v>-1</v>
      </c>
      <c r="M33" s="271">
        <v>0</v>
      </c>
      <c r="N33" s="272">
        <v>-38</v>
      </c>
    </row>
    <row r="34" spans="2:14" ht="12.75" thickBot="1">
      <c r="B34" s="230" t="s">
        <v>125</v>
      </c>
      <c r="C34" s="231"/>
      <c r="D34" s="232"/>
      <c r="E34" s="273">
        <v>801</v>
      </c>
      <c r="F34" s="273">
        <v>237</v>
      </c>
      <c r="G34" s="273">
        <v>36</v>
      </c>
      <c r="H34" s="273">
        <v>28</v>
      </c>
      <c r="I34" s="273">
        <v>51</v>
      </c>
      <c r="J34" s="273">
        <v>116</v>
      </c>
      <c r="K34" s="273">
        <v>114</v>
      </c>
      <c r="L34" s="273">
        <v>63</v>
      </c>
      <c r="M34" s="273">
        <v>0</v>
      </c>
      <c r="N34" s="274">
        <v>645</v>
      </c>
    </row>
    <row r="35" spans="2:14" ht="4.5" customHeight="1" thickTop="1" thickBot="1">
      <c r="B35" s="235"/>
      <c r="C35" s="236"/>
      <c r="D35" s="237"/>
      <c r="E35" s="236"/>
      <c r="F35" s="236"/>
      <c r="G35" s="236"/>
      <c r="H35" s="236"/>
      <c r="I35" s="236"/>
      <c r="J35" s="236"/>
      <c r="K35" s="236"/>
      <c r="L35" s="236"/>
      <c r="M35" s="236"/>
      <c r="N35" s="238"/>
    </row>
    <row r="36" spans="2:14" ht="12.75" thickBot="1">
      <c r="B36" s="239"/>
      <c r="C36" s="240"/>
      <c r="D36" s="241"/>
      <c r="E36" s="240"/>
      <c r="F36" s="240"/>
      <c r="G36" s="240"/>
      <c r="H36" s="240"/>
      <c r="I36" s="240"/>
      <c r="J36" s="240"/>
      <c r="K36" s="240"/>
      <c r="L36" s="240"/>
      <c r="M36" s="240"/>
      <c r="N36" s="240"/>
    </row>
    <row r="37" spans="2:14" ht="36">
      <c r="B37" s="242" t="s">
        <v>152</v>
      </c>
      <c r="C37" s="243"/>
      <c r="D37" s="116"/>
      <c r="E37" s="244" t="s">
        <v>132</v>
      </c>
      <c r="F37" s="244" t="s">
        <v>133</v>
      </c>
      <c r="G37" s="244" t="s">
        <v>134</v>
      </c>
      <c r="H37" s="118" t="s">
        <v>135</v>
      </c>
      <c r="I37" s="119"/>
      <c r="J37" s="245" t="s">
        <v>153</v>
      </c>
      <c r="K37" s="275">
        <v>591</v>
      </c>
      <c r="L37" s="239"/>
      <c r="M37" s="239"/>
      <c r="N37" s="239"/>
    </row>
    <row r="38" spans="2:14">
      <c r="B38" s="98" t="s">
        <v>119</v>
      </c>
      <c r="C38" s="225"/>
      <c r="D38" s="122"/>
      <c r="E38" s="276">
        <v>218</v>
      </c>
      <c r="F38" s="269">
        <v>195</v>
      </c>
      <c r="G38" s="277">
        <v>0.15</v>
      </c>
      <c r="H38" s="278">
        <v>0.15</v>
      </c>
      <c r="I38" s="279"/>
      <c r="J38" s="240"/>
      <c r="K38" s="240"/>
      <c r="L38" s="240"/>
      <c r="M38" s="240"/>
      <c r="N38" s="251"/>
    </row>
    <row r="39" spans="2:14" ht="24">
      <c r="B39" s="98"/>
      <c r="C39" s="99" t="s">
        <v>54</v>
      </c>
      <c r="D39" s="122" t="s">
        <v>121</v>
      </c>
      <c r="E39" s="280">
        <v>-164</v>
      </c>
      <c r="F39" s="271">
        <v>-145</v>
      </c>
      <c r="G39" s="281">
        <v>-0.11158122337661956</v>
      </c>
      <c r="H39" s="282">
        <v>-0.10806937631866606</v>
      </c>
      <c r="I39" s="279"/>
      <c r="J39" s="240"/>
      <c r="K39" s="240"/>
      <c r="L39" s="240"/>
      <c r="M39" s="240"/>
      <c r="N39" s="283"/>
    </row>
    <row r="40" spans="2:14" ht="24">
      <c r="B40" s="98"/>
      <c r="C40" s="99" t="s">
        <v>149</v>
      </c>
      <c r="D40" s="122" t="s">
        <v>122</v>
      </c>
      <c r="E40" s="280">
        <v>43</v>
      </c>
      <c r="F40" s="271">
        <v>27</v>
      </c>
      <c r="G40" s="281">
        <v>2.077719331840502E-2</v>
      </c>
      <c r="H40" s="282">
        <v>2.0123263176579198E-2</v>
      </c>
      <c r="I40" s="284"/>
      <c r="J40" s="240"/>
      <c r="K40" s="240"/>
      <c r="L40" s="240"/>
      <c r="M40" s="240"/>
      <c r="N40" s="283"/>
    </row>
    <row r="41" spans="2:14">
      <c r="B41" s="98"/>
      <c r="C41" s="99" t="s">
        <v>141</v>
      </c>
      <c r="D41" s="122" t="s">
        <v>142</v>
      </c>
      <c r="E41" s="280">
        <v>3</v>
      </c>
      <c r="F41" s="271">
        <v>2</v>
      </c>
      <c r="G41" s="281">
        <v>1.5390513569188905E-3</v>
      </c>
      <c r="H41" s="282">
        <v>1.4906120871540146E-3</v>
      </c>
      <c r="I41" s="285"/>
      <c r="J41" s="240"/>
      <c r="K41" s="240"/>
      <c r="L41" s="240"/>
      <c r="M41" s="240"/>
      <c r="N41" s="283"/>
    </row>
    <row r="42" spans="2:14" ht="24">
      <c r="B42" s="98"/>
      <c r="C42" s="99" t="s">
        <v>59</v>
      </c>
      <c r="D42" s="228" t="s">
        <v>131</v>
      </c>
      <c r="E42" s="280">
        <v>18</v>
      </c>
      <c r="F42" s="271">
        <v>11</v>
      </c>
      <c r="G42" s="281">
        <v>8.4647824630538979E-3</v>
      </c>
      <c r="H42" s="282">
        <v>8.1983664793470797E-3</v>
      </c>
      <c r="I42" s="285"/>
      <c r="J42" s="240"/>
      <c r="K42" s="240"/>
      <c r="L42" s="240"/>
      <c r="M42" s="240"/>
      <c r="N42" s="283"/>
    </row>
    <row r="43" spans="2:14" ht="24">
      <c r="B43" s="98"/>
      <c r="C43" s="229" t="s">
        <v>143</v>
      </c>
      <c r="D43" s="228" t="s">
        <v>124</v>
      </c>
      <c r="E43" s="280">
        <v>38</v>
      </c>
      <c r="F43" s="280">
        <v>22</v>
      </c>
      <c r="G43" s="281">
        <v>1.6929564926107796E-2</v>
      </c>
      <c r="H43" s="282">
        <v>1.6396732958694159E-2</v>
      </c>
      <c r="I43" s="285"/>
      <c r="J43" s="240"/>
      <c r="K43" s="240"/>
      <c r="L43" s="240"/>
      <c r="M43" s="240"/>
      <c r="N43" s="283"/>
    </row>
    <row r="44" spans="2:14" ht="12.75" thickBot="1">
      <c r="B44" s="258" t="s">
        <v>125</v>
      </c>
      <c r="C44" s="239"/>
      <c r="D44" s="259"/>
      <c r="E44" s="273">
        <v>156</v>
      </c>
      <c r="F44" s="273">
        <v>112</v>
      </c>
      <c r="G44" s="286">
        <v>8.6186875987457862E-2</v>
      </c>
      <c r="H44" s="287">
        <v>8.3474276880624823E-2</v>
      </c>
      <c r="J44" s="240"/>
      <c r="K44" s="240"/>
      <c r="L44" s="240"/>
      <c r="M44" s="240"/>
      <c r="N44" s="283"/>
    </row>
    <row r="45" spans="2:14" ht="4.5" customHeight="1" thickTop="1" thickBot="1">
      <c r="B45" s="262"/>
      <c r="C45" s="263"/>
      <c r="D45" s="264"/>
      <c r="E45" s="265"/>
      <c r="F45" s="265"/>
      <c r="G45" s="266"/>
      <c r="H45" s="267"/>
      <c r="I45" s="239"/>
      <c r="J45" s="240"/>
      <c r="K45" s="240"/>
      <c r="L45" s="240"/>
      <c r="M45" s="240"/>
      <c r="N45" s="240"/>
    </row>
    <row r="46" spans="2:14">
      <c r="B46" s="239"/>
      <c r="C46" s="239"/>
      <c r="D46" s="288"/>
      <c r="E46" s="239"/>
      <c r="F46" s="239"/>
      <c r="G46" s="289"/>
      <c r="H46" s="289"/>
      <c r="I46" s="239"/>
      <c r="J46" s="240"/>
      <c r="K46" s="240"/>
      <c r="L46" s="240"/>
    </row>
    <row r="47" spans="2:14" ht="12.75" thickBot="1">
      <c r="B47" s="239"/>
      <c r="C47" s="239"/>
      <c r="D47" s="288"/>
      <c r="E47" s="239"/>
      <c r="F47" s="289"/>
      <c r="G47" s="240"/>
      <c r="H47" s="240"/>
      <c r="I47" s="240"/>
    </row>
    <row r="48" spans="2:14" ht="63" customHeight="1">
      <c r="B48" s="180" t="s">
        <v>27</v>
      </c>
      <c r="C48" s="181"/>
      <c r="D48" s="290"/>
      <c r="E48" s="91" t="s">
        <v>111</v>
      </c>
      <c r="F48" s="91" t="s">
        <v>112</v>
      </c>
      <c r="G48" s="91" t="s">
        <v>113</v>
      </c>
      <c r="H48" s="91" t="s">
        <v>114</v>
      </c>
      <c r="I48" s="91" t="s">
        <v>257</v>
      </c>
      <c r="J48" s="91" t="s">
        <v>115</v>
      </c>
      <c r="K48" s="91" t="s">
        <v>116</v>
      </c>
      <c r="L48" s="91" t="s">
        <v>117</v>
      </c>
      <c r="M48" s="91" t="s">
        <v>50</v>
      </c>
      <c r="N48" s="92" t="s">
        <v>118</v>
      </c>
    </row>
    <row r="49" spans="2:14">
      <c r="B49" s="596" t="s">
        <v>119</v>
      </c>
      <c r="C49" s="597"/>
      <c r="D49" s="185"/>
      <c r="E49" s="123">
        <v>703</v>
      </c>
      <c r="F49" s="123">
        <v>185</v>
      </c>
      <c r="G49" s="123">
        <v>54</v>
      </c>
      <c r="H49" s="123">
        <v>45</v>
      </c>
      <c r="I49" s="123">
        <v>55</v>
      </c>
      <c r="J49" s="123">
        <v>122</v>
      </c>
      <c r="K49" s="123">
        <v>128</v>
      </c>
      <c r="L49" s="123">
        <v>106</v>
      </c>
      <c r="M49" s="123">
        <v>-1</v>
      </c>
      <c r="N49" s="186">
        <v>694</v>
      </c>
    </row>
    <row r="50" spans="2:14" ht="24">
      <c r="B50" s="98"/>
      <c r="C50" s="99" t="s">
        <v>54</v>
      </c>
      <c r="D50" s="122" t="s">
        <v>121</v>
      </c>
      <c r="E50" s="291">
        <v>52</v>
      </c>
      <c r="F50" s="291">
        <v>20</v>
      </c>
      <c r="G50" s="291">
        <v>31</v>
      </c>
      <c r="H50" s="291">
        <v>5</v>
      </c>
      <c r="I50" s="291">
        <v>0</v>
      </c>
      <c r="J50" s="291">
        <v>0</v>
      </c>
      <c r="K50" s="291">
        <v>5</v>
      </c>
      <c r="L50" s="291">
        <v>0</v>
      </c>
      <c r="M50" s="291">
        <v>0</v>
      </c>
      <c r="N50" s="292">
        <v>61</v>
      </c>
    </row>
    <row r="51" spans="2:14">
      <c r="B51" s="98"/>
      <c r="C51" s="99" t="s">
        <v>55</v>
      </c>
      <c r="D51" s="122" t="s">
        <v>122</v>
      </c>
      <c r="E51" s="291">
        <v>0</v>
      </c>
      <c r="F51" s="291">
        <v>0</v>
      </c>
      <c r="G51" s="291">
        <v>-3</v>
      </c>
      <c r="H51" s="291">
        <v>0</v>
      </c>
      <c r="I51" s="291">
        <v>0</v>
      </c>
      <c r="J51" s="291">
        <v>-11</v>
      </c>
      <c r="K51" s="291">
        <v>-2</v>
      </c>
      <c r="L51" s="291">
        <v>-20</v>
      </c>
      <c r="M51" s="291">
        <v>0</v>
      </c>
      <c r="N51" s="292">
        <v>-36</v>
      </c>
    </row>
    <row r="52" spans="2:14" ht="24">
      <c r="B52" s="98"/>
      <c r="C52" s="99" t="s">
        <v>59</v>
      </c>
      <c r="D52" s="228" t="s">
        <v>131</v>
      </c>
      <c r="E52" s="291">
        <v>0</v>
      </c>
      <c r="F52" s="291">
        <v>0</v>
      </c>
      <c r="G52" s="291">
        <v>0</v>
      </c>
      <c r="H52" s="291">
        <v>0</v>
      </c>
      <c r="I52" s="291">
        <v>0</v>
      </c>
      <c r="J52" s="291">
        <v>0</v>
      </c>
      <c r="K52" s="291">
        <v>0</v>
      </c>
      <c r="L52" s="291">
        <v>-7</v>
      </c>
      <c r="M52" s="291">
        <v>1</v>
      </c>
      <c r="N52" s="292">
        <v>-6</v>
      </c>
    </row>
    <row r="53" spans="2:14" ht="24">
      <c r="B53" s="98"/>
      <c r="C53" s="229" t="s">
        <v>143</v>
      </c>
      <c r="D53" s="228" t="s">
        <v>124</v>
      </c>
      <c r="E53" s="291">
        <v>0</v>
      </c>
      <c r="F53" s="291">
        <v>-1</v>
      </c>
      <c r="G53" s="291">
        <v>-8</v>
      </c>
      <c r="H53" s="291">
        <v>-24</v>
      </c>
      <c r="I53" s="291">
        <v>0</v>
      </c>
      <c r="J53" s="291">
        <v>0</v>
      </c>
      <c r="K53" s="291">
        <v>0</v>
      </c>
      <c r="L53" s="291">
        <v>0</v>
      </c>
      <c r="M53" s="291">
        <v>0</v>
      </c>
      <c r="N53" s="292">
        <v>-33</v>
      </c>
    </row>
    <row r="54" spans="2:14" ht="12.75" thickBot="1">
      <c r="B54" s="608" t="s">
        <v>125</v>
      </c>
      <c r="C54" s="609"/>
      <c r="D54" s="203"/>
      <c r="E54" s="141">
        <v>755</v>
      </c>
      <c r="F54" s="141">
        <v>204</v>
      </c>
      <c r="G54" s="141">
        <v>74</v>
      </c>
      <c r="H54" s="141">
        <v>26</v>
      </c>
      <c r="I54" s="141">
        <v>55</v>
      </c>
      <c r="J54" s="141">
        <v>111</v>
      </c>
      <c r="K54" s="141">
        <v>131</v>
      </c>
      <c r="L54" s="141">
        <v>79</v>
      </c>
      <c r="M54" s="141">
        <v>0</v>
      </c>
      <c r="N54" s="192">
        <v>680</v>
      </c>
    </row>
    <row r="55" spans="2:14" ht="3.75" customHeight="1" thickTop="1" thickBot="1">
      <c r="B55" s="193"/>
      <c r="C55" s="194"/>
      <c r="D55" s="195"/>
      <c r="E55" s="194"/>
      <c r="F55" s="194"/>
      <c r="G55" s="194"/>
      <c r="H55" s="194"/>
      <c r="I55" s="194"/>
      <c r="J55" s="194"/>
      <c r="K55" s="194"/>
      <c r="L55" s="194"/>
      <c r="M55" s="194"/>
      <c r="N55" s="293"/>
    </row>
    <row r="56" spans="2:14" ht="12.75" thickBot="1">
      <c r="B56" s="196"/>
      <c r="C56" s="197"/>
      <c r="D56" s="198"/>
      <c r="E56" s="197"/>
      <c r="F56" s="197"/>
      <c r="G56" s="197"/>
      <c r="H56" s="197"/>
      <c r="I56" s="197"/>
      <c r="J56" s="197"/>
      <c r="K56" s="197"/>
      <c r="L56" s="197"/>
      <c r="M56" s="197"/>
      <c r="N56" s="197"/>
    </row>
    <row r="57" spans="2:14" ht="36">
      <c r="B57" s="180" t="s">
        <v>27</v>
      </c>
      <c r="C57" s="181"/>
      <c r="D57" s="290"/>
      <c r="E57" s="117" t="s">
        <v>132</v>
      </c>
      <c r="F57" s="117" t="s">
        <v>133</v>
      </c>
      <c r="G57" s="117" t="s">
        <v>134</v>
      </c>
      <c r="H57" s="118" t="s">
        <v>135</v>
      </c>
      <c r="I57" s="119"/>
      <c r="J57" s="120"/>
      <c r="K57" s="121"/>
      <c r="L57" s="196"/>
      <c r="M57" s="196"/>
      <c r="N57" s="196"/>
    </row>
    <row r="58" spans="2:14">
      <c r="B58" s="596" t="s">
        <v>119</v>
      </c>
      <c r="C58" s="597"/>
      <c r="D58" s="122"/>
      <c r="E58" s="294">
        <v>9</v>
      </c>
      <c r="F58" s="123">
        <v>15</v>
      </c>
      <c r="G58" s="124">
        <v>0.01</v>
      </c>
      <c r="H58" s="295">
        <v>0.01</v>
      </c>
      <c r="I58" s="126"/>
      <c r="J58" s="197"/>
      <c r="K58" s="197"/>
      <c r="L58" s="197"/>
      <c r="M58" s="197"/>
      <c r="N58" s="296"/>
    </row>
    <row r="59" spans="2:14" ht="24">
      <c r="B59" s="98"/>
      <c r="C59" s="99" t="s">
        <v>54</v>
      </c>
      <c r="D59" s="122" t="s">
        <v>121</v>
      </c>
      <c r="E59" s="297">
        <v>-9</v>
      </c>
      <c r="F59" s="298">
        <v>5</v>
      </c>
      <c r="G59" s="299">
        <v>4.101120951277934E-9</v>
      </c>
      <c r="H59" s="300">
        <v>4.0207775843999526E-3</v>
      </c>
      <c r="I59" s="126"/>
      <c r="J59" s="197"/>
      <c r="K59" s="197"/>
      <c r="L59" s="197"/>
      <c r="M59" s="197"/>
      <c r="N59" s="301"/>
    </row>
    <row r="60" spans="2:14">
      <c r="B60" s="98"/>
      <c r="C60" s="99" t="s">
        <v>55</v>
      </c>
      <c r="D60" s="122" t="s">
        <v>122</v>
      </c>
      <c r="E60" s="297">
        <v>36</v>
      </c>
      <c r="F60" s="298">
        <v>23</v>
      </c>
      <c r="G60" s="299">
        <v>1.777308556174418E-2</v>
      </c>
      <c r="H60" s="300">
        <v>1.742490038242241E-2</v>
      </c>
      <c r="I60" s="302"/>
      <c r="J60" s="197"/>
      <c r="K60" s="197"/>
      <c r="L60" s="197"/>
      <c r="M60" s="197"/>
      <c r="N60" s="301"/>
    </row>
    <row r="61" spans="2:14" ht="24">
      <c r="B61" s="98"/>
      <c r="C61" s="99" t="s">
        <v>59</v>
      </c>
      <c r="D61" s="228" t="s">
        <v>131</v>
      </c>
      <c r="E61" s="297">
        <v>6</v>
      </c>
      <c r="F61" s="298">
        <v>3</v>
      </c>
      <c r="G61" s="299">
        <v>2.7535986284327576E-3</v>
      </c>
      <c r="H61" s="300">
        <v>2.6996540148826638E-3</v>
      </c>
      <c r="I61" s="132"/>
      <c r="J61" s="197"/>
      <c r="K61" s="197"/>
      <c r="L61" s="197"/>
      <c r="M61" s="197"/>
      <c r="N61" s="301"/>
    </row>
    <row r="62" spans="2:14" ht="24">
      <c r="B62" s="98"/>
      <c r="C62" s="229" t="s">
        <v>143</v>
      </c>
      <c r="D62" s="228" t="s">
        <v>124</v>
      </c>
      <c r="E62" s="297">
        <v>33</v>
      </c>
      <c r="F62" s="298">
        <v>9</v>
      </c>
      <c r="G62" s="303">
        <v>6.9952491382924602E-3</v>
      </c>
      <c r="H62" s="304">
        <v>6.8582081013180227E-3</v>
      </c>
      <c r="I62" s="132"/>
      <c r="J62" s="197"/>
      <c r="K62" s="197"/>
      <c r="L62" s="197"/>
      <c r="M62" s="197"/>
      <c r="N62" s="301"/>
    </row>
    <row r="63" spans="2:14" ht="12.75" thickBot="1">
      <c r="B63" s="608" t="s">
        <v>125</v>
      </c>
      <c r="C63" s="609"/>
      <c r="D63" s="203"/>
      <c r="E63" s="141">
        <v>75</v>
      </c>
      <c r="F63" s="141">
        <v>55</v>
      </c>
      <c r="G63" s="305">
        <v>4.2947394542128155E-2</v>
      </c>
      <c r="H63" s="306">
        <v>4.2106029872042906E-2</v>
      </c>
      <c r="I63" s="307"/>
      <c r="J63" s="197"/>
      <c r="K63" s="197"/>
      <c r="L63" s="197"/>
      <c r="M63" s="197"/>
      <c r="N63" s="301"/>
    </row>
    <row r="64" spans="2:14" ht="3.75" customHeight="1" thickTop="1" thickBot="1">
      <c r="B64" s="308"/>
      <c r="C64" s="309"/>
      <c r="D64" s="309"/>
      <c r="E64" s="207"/>
      <c r="F64" s="207"/>
      <c r="G64" s="310"/>
      <c r="H64" s="311"/>
      <c r="I64" s="196"/>
      <c r="J64" s="197"/>
      <c r="K64" s="197"/>
      <c r="L64" s="197"/>
      <c r="M64" s="197"/>
    </row>
    <row r="65" spans="2:15">
      <c r="B65" s="196"/>
      <c r="C65" s="196"/>
      <c r="D65" s="312"/>
      <c r="E65" s="196"/>
      <c r="F65" s="196"/>
      <c r="G65" s="313"/>
      <c r="H65" s="313"/>
      <c r="I65" s="197"/>
      <c r="J65" s="197"/>
      <c r="K65" s="197"/>
    </row>
    <row r="66" spans="2:15" ht="12.75" thickBot="1">
      <c r="B66" s="196"/>
      <c r="C66" s="196"/>
      <c r="D66" s="312"/>
      <c r="E66" s="196"/>
      <c r="F66" s="196"/>
      <c r="G66" s="313"/>
      <c r="H66" s="197"/>
      <c r="I66" s="197"/>
      <c r="J66" s="197"/>
    </row>
    <row r="67" spans="2:15" ht="60.75" customHeight="1">
      <c r="B67" s="180" t="s">
        <v>26</v>
      </c>
      <c r="C67" s="181"/>
      <c r="D67" s="182"/>
      <c r="E67" s="91" t="s">
        <v>111</v>
      </c>
      <c r="F67" s="91" t="s">
        <v>112</v>
      </c>
      <c r="G67" s="91" t="s">
        <v>113</v>
      </c>
      <c r="H67" s="91" t="s">
        <v>114</v>
      </c>
      <c r="I67" s="91" t="s">
        <v>257</v>
      </c>
      <c r="J67" s="91" t="s">
        <v>115</v>
      </c>
      <c r="K67" s="91" t="s">
        <v>116</v>
      </c>
      <c r="L67" s="91" t="s">
        <v>117</v>
      </c>
      <c r="M67" s="91" t="s">
        <v>50</v>
      </c>
      <c r="N67" s="220" t="s">
        <v>140</v>
      </c>
      <c r="O67" s="92" t="s">
        <v>118</v>
      </c>
    </row>
    <row r="68" spans="2:15">
      <c r="B68" s="183" t="s">
        <v>119</v>
      </c>
      <c r="C68" s="184"/>
      <c r="D68" s="185"/>
      <c r="E68" s="123">
        <v>1557</v>
      </c>
      <c r="F68" s="123">
        <v>670</v>
      </c>
      <c r="G68" s="123">
        <v>136</v>
      </c>
      <c r="H68" s="123">
        <v>152</v>
      </c>
      <c r="I68" s="123">
        <v>54</v>
      </c>
      <c r="J68" s="123">
        <v>265</v>
      </c>
      <c r="K68" s="123">
        <v>215</v>
      </c>
      <c r="L68" s="123">
        <v>94</v>
      </c>
      <c r="M68" s="314">
        <v>-6</v>
      </c>
      <c r="N68" s="323">
        <v>409</v>
      </c>
      <c r="O68" s="186">
        <f t="shared" ref="O68:O73" si="0">SUM(F68:N68)</f>
        <v>1989</v>
      </c>
    </row>
    <row r="69" spans="2:15" ht="24">
      <c r="B69" s="98"/>
      <c r="C69" s="99" t="s">
        <v>54</v>
      </c>
      <c r="D69" s="122" t="s">
        <v>121</v>
      </c>
      <c r="E69" s="129">
        <v>938</v>
      </c>
      <c r="F69" s="129">
        <v>194</v>
      </c>
      <c r="G69" s="129">
        <v>16</v>
      </c>
      <c r="H69" s="129">
        <v>4</v>
      </c>
      <c r="I69" s="135">
        <v>0</v>
      </c>
      <c r="J69" s="135">
        <v>0</v>
      </c>
      <c r="K69" s="135">
        <v>0</v>
      </c>
      <c r="L69" s="135">
        <v>0</v>
      </c>
      <c r="M69" s="315">
        <v>0</v>
      </c>
      <c r="N69" s="160">
        <v>0</v>
      </c>
      <c r="O69" s="187">
        <f t="shared" si="0"/>
        <v>214</v>
      </c>
    </row>
    <row r="70" spans="2:15">
      <c r="B70" s="98"/>
      <c r="C70" s="99" t="s">
        <v>55</v>
      </c>
      <c r="D70" s="122" t="s">
        <v>122</v>
      </c>
      <c r="E70" s="135">
        <v>0</v>
      </c>
      <c r="F70" s="135">
        <v>0</v>
      </c>
      <c r="G70" s="129">
        <v>-16</v>
      </c>
      <c r="H70" s="135">
        <v>0</v>
      </c>
      <c r="I70" s="135">
        <v>0</v>
      </c>
      <c r="J70" s="129">
        <v>-12</v>
      </c>
      <c r="K70" s="129">
        <v>1</v>
      </c>
      <c r="L70" s="129">
        <v>-20</v>
      </c>
      <c r="M70" s="315">
        <v>0</v>
      </c>
      <c r="N70" s="160">
        <v>0</v>
      </c>
      <c r="O70" s="187">
        <f t="shared" si="0"/>
        <v>-47</v>
      </c>
    </row>
    <row r="71" spans="2:15" ht="24">
      <c r="B71" s="98"/>
      <c r="C71" s="99" t="s">
        <v>59</v>
      </c>
      <c r="D71" s="122" t="s">
        <v>131</v>
      </c>
      <c r="E71" s="135">
        <v>0</v>
      </c>
      <c r="F71" s="135">
        <v>0</v>
      </c>
      <c r="G71" s="135">
        <v>0</v>
      </c>
      <c r="H71" s="135">
        <v>0</v>
      </c>
      <c r="I71" s="135">
        <v>0</v>
      </c>
      <c r="J71" s="135">
        <v>0</v>
      </c>
      <c r="K71" s="135">
        <v>0</v>
      </c>
      <c r="L71" s="135">
        <v>0</v>
      </c>
      <c r="M71" s="316">
        <v>6</v>
      </c>
      <c r="N71" s="160">
        <v>0</v>
      </c>
      <c r="O71" s="187">
        <f t="shared" si="0"/>
        <v>6</v>
      </c>
    </row>
    <row r="72" spans="2:15" ht="24">
      <c r="B72" s="98"/>
      <c r="C72" s="99" t="s">
        <v>57</v>
      </c>
      <c r="D72" s="317" t="s">
        <v>124</v>
      </c>
      <c r="E72" s="135">
        <v>0</v>
      </c>
      <c r="F72" s="129">
        <v>-1</v>
      </c>
      <c r="G72" s="129">
        <v>-29</v>
      </c>
      <c r="H72" s="129">
        <v>-112</v>
      </c>
      <c r="I72" s="135">
        <v>0</v>
      </c>
      <c r="J72" s="135">
        <v>0</v>
      </c>
      <c r="K72" s="135">
        <v>0</v>
      </c>
      <c r="L72" s="135">
        <v>0</v>
      </c>
      <c r="M72" s="315">
        <v>0</v>
      </c>
      <c r="N72" s="160">
        <v>0</v>
      </c>
      <c r="O72" s="187">
        <f t="shared" si="0"/>
        <v>-142</v>
      </c>
    </row>
    <row r="73" spans="2:15">
      <c r="B73" s="98"/>
      <c r="C73" s="99" t="s">
        <v>58</v>
      </c>
      <c r="D73" s="122" t="s">
        <v>189</v>
      </c>
      <c r="E73" s="135">
        <v>0</v>
      </c>
      <c r="F73" s="135">
        <v>0</v>
      </c>
      <c r="G73" s="135">
        <v>0</v>
      </c>
      <c r="H73" s="135">
        <v>0</v>
      </c>
      <c r="I73" s="135">
        <v>0</v>
      </c>
      <c r="J73" s="135">
        <v>0</v>
      </c>
      <c r="K73" s="135">
        <v>0</v>
      </c>
      <c r="L73" s="135">
        <v>0</v>
      </c>
      <c r="M73" s="315">
        <v>0</v>
      </c>
      <c r="N73" s="324">
        <v>-409</v>
      </c>
      <c r="O73" s="187">
        <f t="shared" si="0"/>
        <v>-409</v>
      </c>
    </row>
    <row r="74" spans="2:15" ht="12.75" thickBot="1">
      <c r="B74" s="189" t="s">
        <v>125</v>
      </c>
      <c r="C74" s="190"/>
      <c r="D74" s="191"/>
      <c r="E74" s="141">
        <f t="shared" ref="E74:O74" si="1">SUM(E68:E73)</f>
        <v>2495</v>
      </c>
      <c r="F74" s="141">
        <f t="shared" si="1"/>
        <v>863</v>
      </c>
      <c r="G74" s="141">
        <f t="shared" si="1"/>
        <v>107</v>
      </c>
      <c r="H74" s="141">
        <f t="shared" si="1"/>
        <v>44</v>
      </c>
      <c r="I74" s="141">
        <f t="shared" si="1"/>
        <v>54</v>
      </c>
      <c r="J74" s="141">
        <f t="shared" si="1"/>
        <v>253</v>
      </c>
      <c r="K74" s="141">
        <f t="shared" si="1"/>
        <v>216</v>
      </c>
      <c r="L74" s="141">
        <f t="shared" si="1"/>
        <v>74</v>
      </c>
      <c r="M74" s="326">
        <f t="shared" si="1"/>
        <v>0</v>
      </c>
      <c r="N74" s="325">
        <f t="shared" si="1"/>
        <v>0</v>
      </c>
      <c r="O74" s="192">
        <f t="shared" si="1"/>
        <v>1611</v>
      </c>
    </row>
    <row r="75" spans="2:15" ht="3.75" customHeight="1" thickTop="1" thickBot="1">
      <c r="B75" s="193"/>
      <c r="C75" s="194"/>
      <c r="D75" s="195"/>
      <c r="E75" s="194"/>
      <c r="F75" s="111"/>
      <c r="G75" s="111"/>
      <c r="H75" s="111"/>
      <c r="I75" s="111"/>
      <c r="J75" s="111"/>
      <c r="K75" s="111"/>
      <c r="L75" s="111"/>
      <c r="M75" s="111"/>
      <c r="N75" s="111"/>
      <c r="O75" s="112"/>
    </row>
    <row r="76" spans="2:15" ht="12.75" thickBot="1">
      <c r="B76" s="196"/>
      <c r="C76" s="197"/>
      <c r="D76" s="198"/>
      <c r="E76" s="197"/>
      <c r="F76" s="197"/>
      <c r="G76" s="197"/>
      <c r="H76" s="197"/>
      <c r="I76" s="197"/>
      <c r="J76" s="197"/>
      <c r="K76" s="197"/>
      <c r="L76" s="197"/>
      <c r="M76" s="197"/>
      <c r="N76" s="197"/>
      <c r="O76" s="197"/>
    </row>
    <row r="77" spans="2:15" ht="48">
      <c r="B77" s="199" t="str">
        <f>B67</f>
        <v>Three Months Ended December 31, 2009</v>
      </c>
      <c r="C77" s="200"/>
      <c r="D77" s="116"/>
      <c r="E77" s="117" t="s">
        <v>126</v>
      </c>
      <c r="F77" s="117" t="s">
        <v>127</v>
      </c>
      <c r="G77" s="117" t="s">
        <v>128</v>
      </c>
      <c r="H77" s="118" t="s">
        <v>129</v>
      </c>
      <c r="I77" s="119"/>
      <c r="J77" s="120"/>
      <c r="K77" s="121"/>
      <c r="L77" s="196"/>
      <c r="N77" s="196"/>
      <c r="O77" s="196"/>
    </row>
    <row r="78" spans="2:15">
      <c r="B78" s="183" t="s">
        <v>119</v>
      </c>
      <c r="C78" s="184"/>
      <c r="D78" s="122"/>
      <c r="E78" s="123">
        <f t="shared" ref="E78:E83" si="2">E68-O68</f>
        <v>-432</v>
      </c>
      <c r="F78" s="123">
        <v>-286</v>
      </c>
      <c r="G78" s="124">
        <v>-0.23</v>
      </c>
      <c r="H78" s="125">
        <v>-0.23</v>
      </c>
      <c r="I78" s="126"/>
      <c r="J78" s="318"/>
      <c r="K78" s="121"/>
      <c r="L78" s="196"/>
      <c r="N78" s="196"/>
      <c r="O78" s="196"/>
    </row>
    <row r="79" spans="2:15" ht="24">
      <c r="B79" s="98"/>
      <c r="C79" s="99" t="s">
        <v>54</v>
      </c>
      <c r="D79" s="122" t="s">
        <v>121</v>
      </c>
      <c r="E79" s="128">
        <f t="shared" si="2"/>
        <v>724</v>
      </c>
      <c r="F79" s="129">
        <v>552</v>
      </c>
      <c r="G79" s="130">
        <v>0.43</v>
      </c>
      <c r="H79" s="131">
        <v>0.43</v>
      </c>
      <c r="I79" s="126"/>
      <c r="J79" s="126"/>
      <c r="K79" s="126"/>
      <c r="L79" s="126"/>
      <c r="N79" s="126"/>
      <c r="O79" s="133"/>
    </row>
    <row r="80" spans="2:15">
      <c r="B80" s="98"/>
      <c r="C80" s="99" t="s">
        <v>55</v>
      </c>
      <c r="D80" s="122" t="s">
        <v>122</v>
      </c>
      <c r="E80" s="128">
        <f t="shared" si="2"/>
        <v>47</v>
      </c>
      <c r="F80" s="129">
        <v>29</v>
      </c>
      <c r="G80" s="130">
        <v>0.02</v>
      </c>
      <c r="H80" s="131">
        <v>0.02</v>
      </c>
      <c r="I80" s="132"/>
      <c r="J80" s="132"/>
      <c r="K80" s="133"/>
      <c r="L80" s="133"/>
      <c r="N80" s="133"/>
      <c r="O80" s="133"/>
    </row>
    <row r="81" spans="2:15" ht="24">
      <c r="B81" s="98"/>
      <c r="C81" s="99" t="s">
        <v>59</v>
      </c>
      <c r="D81" s="122" t="s">
        <v>131</v>
      </c>
      <c r="E81" s="128">
        <f t="shared" si="2"/>
        <v>-6</v>
      </c>
      <c r="F81" s="129">
        <v>-4</v>
      </c>
      <c r="G81" s="135">
        <v>0</v>
      </c>
      <c r="H81" s="136">
        <v>0</v>
      </c>
      <c r="I81" s="137"/>
      <c r="J81" s="137"/>
      <c r="K81" s="138"/>
      <c r="L81" s="133"/>
      <c r="N81" s="133"/>
      <c r="O81" s="133"/>
    </row>
    <row r="82" spans="2:15" ht="24">
      <c r="B82" s="98"/>
      <c r="C82" s="99" t="s">
        <v>57</v>
      </c>
      <c r="D82" s="317" t="s">
        <v>124</v>
      </c>
      <c r="E82" s="128">
        <f t="shared" si="2"/>
        <v>142</v>
      </c>
      <c r="F82" s="129">
        <v>92</v>
      </c>
      <c r="G82" s="130">
        <v>7.0000000000000007E-2</v>
      </c>
      <c r="H82" s="131">
        <v>7.0000000000000007E-2</v>
      </c>
      <c r="I82" s="137"/>
      <c r="J82" s="137"/>
      <c r="K82" s="138"/>
      <c r="L82" s="133"/>
      <c r="N82" s="133"/>
      <c r="O82" s="133"/>
    </row>
    <row r="83" spans="2:15">
      <c r="B83" s="98"/>
      <c r="C83" s="99" t="s">
        <v>58</v>
      </c>
      <c r="D83" s="122" t="s">
        <v>189</v>
      </c>
      <c r="E83" s="128">
        <f t="shared" si="2"/>
        <v>409</v>
      </c>
      <c r="F83" s="129">
        <v>249</v>
      </c>
      <c r="G83" s="139">
        <v>0.19</v>
      </c>
      <c r="H83" s="202">
        <v>0.19</v>
      </c>
      <c r="I83" s="137"/>
      <c r="J83" s="137"/>
      <c r="K83" s="138"/>
      <c r="L83" s="133"/>
      <c r="N83" s="133"/>
      <c r="O83" s="133"/>
    </row>
    <row r="84" spans="2:15" ht="12.75" thickBot="1">
      <c r="B84" s="189" t="s">
        <v>125</v>
      </c>
      <c r="C84" s="190"/>
      <c r="D84" s="203"/>
      <c r="E84" s="141">
        <f>SUM(E78:E83)</f>
        <v>884</v>
      </c>
      <c r="F84" s="141">
        <f>SUM(F78:F83)</f>
        <v>632</v>
      </c>
      <c r="G84" s="142">
        <v>0.5</v>
      </c>
      <c r="H84" s="143">
        <v>0.49</v>
      </c>
      <c r="I84" s="144"/>
      <c r="J84" s="197"/>
      <c r="K84" s="197"/>
      <c r="L84" s="197"/>
      <c r="N84" s="197"/>
      <c r="O84" s="197"/>
    </row>
    <row r="85" spans="2:15" ht="3.75" customHeight="1" thickTop="1" thickBot="1">
      <c r="B85" s="319"/>
      <c r="C85" s="205"/>
      <c r="D85" s="206"/>
      <c r="E85" s="207"/>
      <c r="F85" s="207"/>
      <c r="G85" s="207"/>
      <c r="H85" s="208"/>
      <c r="I85" s="196"/>
      <c r="J85" s="197"/>
      <c r="K85" s="197"/>
      <c r="L85" s="197"/>
      <c r="M85" s="197"/>
      <c r="N85" s="197"/>
      <c r="O85" s="197"/>
    </row>
    <row r="86" spans="2:15">
      <c r="B86" s="196"/>
      <c r="C86" s="196"/>
      <c r="D86" s="312"/>
      <c r="E86" s="196"/>
      <c r="F86" s="313"/>
      <c r="G86" s="197"/>
      <c r="H86" s="197"/>
      <c r="I86" s="197"/>
    </row>
    <row r="87" spans="2:15">
      <c r="B87" s="196"/>
      <c r="C87" s="196"/>
      <c r="D87" s="312"/>
      <c r="E87" s="196"/>
      <c r="F87" s="196"/>
      <c r="G87" s="313"/>
      <c r="H87" s="197"/>
      <c r="I87" s="197"/>
      <c r="J87" s="197"/>
      <c r="K87" s="197"/>
    </row>
    <row r="88" spans="2:15">
      <c r="C88" s="320" t="s">
        <v>136</v>
      </c>
      <c r="N88" s="240"/>
    </row>
    <row r="89" spans="2:15">
      <c r="C89" s="600" t="s">
        <v>144</v>
      </c>
      <c r="D89" s="610"/>
      <c r="E89" s="610"/>
      <c r="F89" s="610"/>
      <c r="G89" s="610"/>
      <c r="H89" s="610"/>
      <c r="I89" s="610"/>
      <c r="J89" s="610"/>
      <c r="K89" s="610"/>
      <c r="L89" s="610"/>
      <c r="M89" s="610"/>
      <c r="N89" s="240"/>
    </row>
    <row r="90" spans="2:15">
      <c r="C90" s="320" t="s">
        <v>145</v>
      </c>
      <c r="N90" s="321"/>
    </row>
    <row r="91" spans="2:15" ht="24.75" customHeight="1">
      <c r="C91" s="607" t="s">
        <v>146</v>
      </c>
      <c r="D91" s="607"/>
      <c r="E91" s="607"/>
      <c r="F91" s="607"/>
      <c r="G91" s="607"/>
      <c r="H91" s="607"/>
      <c r="I91" s="607"/>
      <c r="J91" s="607"/>
      <c r="K91" s="607"/>
      <c r="L91" s="607"/>
      <c r="M91" s="607"/>
      <c r="N91" s="607"/>
      <c r="O91" s="607"/>
    </row>
    <row r="92" spans="2:15">
      <c r="C92" s="320" t="s">
        <v>147</v>
      </c>
      <c r="D92" s="322"/>
      <c r="E92" s="322"/>
      <c r="F92" s="322"/>
      <c r="G92" s="322"/>
      <c r="H92" s="322"/>
      <c r="I92" s="322"/>
      <c r="J92" s="322"/>
      <c r="K92" s="322"/>
      <c r="L92" s="322"/>
      <c r="M92" s="322"/>
      <c r="N92" s="321"/>
    </row>
    <row r="93" spans="2:15">
      <c r="C93" s="320" t="s">
        <v>190</v>
      </c>
      <c r="D93" s="322"/>
      <c r="E93" s="322"/>
      <c r="F93" s="322"/>
      <c r="G93" s="322"/>
      <c r="H93" s="322"/>
      <c r="I93" s="322"/>
      <c r="J93" s="322"/>
      <c r="K93" s="322"/>
      <c r="L93" s="322"/>
      <c r="M93" s="322"/>
      <c r="N93" s="321"/>
    </row>
    <row r="94" spans="2:15">
      <c r="C94" s="320"/>
      <c r="D94" s="322"/>
      <c r="E94" s="322"/>
      <c r="F94" s="322"/>
      <c r="G94" s="322"/>
      <c r="H94" s="322"/>
      <c r="I94" s="322"/>
      <c r="J94" s="322"/>
      <c r="K94" s="322"/>
      <c r="L94" s="322"/>
      <c r="M94" s="322"/>
      <c r="N94" s="321"/>
    </row>
    <row r="95" spans="2:15" ht="27.75" customHeight="1">
      <c r="C95" s="607" t="s">
        <v>139</v>
      </c>
      <c r="D95" s="607"/>
      <c r="E95" s="607"/>
      <c r="F95" s="607"/>
      <c r="G95" s="607"/>
      <c r="H95" s="607"/>
      <c r="I95" s="607"/>
      <c r="J95" s="607"/>
      <c r="K95" s="607"/>
      <c r="L95" s="607"/>
      <c r="M95" s="322"/>
      <c r="N95" s="321"/>
    </row>
  </sheetData>
  <mergeCells count="10">
    <mergeCell ref="C95:L95"/>
    <mergeCell ref="B1:N1"/>
    <mergeCell ref="B2:N2"/>
    <mergeCell ref="B3:N3"/>
    <mergeCell ref="B49:C49"/>
    <mergeCell ref="C91:O91"/>
    <mergeCell ref="B58:C58"/>
    <mergeCell ref="B63:C63"/>
    <mergeCell ref="B54:C54"/>
    <mergeCell ref="C89:M89"/>
  </mergeCells>
  <pageMargins left="0.7" right="0.7" top="0.25" bottom="0.44" header="0.3" footer="0.3"/>
  <pageSetup scale="44" orientation="portrait" r:id="rId1"/>
  <headerFooter>
    <oddFooter>&amp;LActivision Blizzard, Inc.&amp;R&amp;P of &amp; 17</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view="pageBreakPreview" zoomScale="60" zoomScaleNormal="100" workbookViewId="0"/>
  </sheetViews>
  <sheetFormatPr defaultRowHeight="12"/>
  <cols>
    <col min="1" max="1" width="2" style="611" customWidth="1"/>
    <col min="2" max="2" width="1.42578125" style="611" customWidth="1"/>
    <col min="3" max="3" width="57.140625" style="611" customWidth="1"/>
    <col min="4" max="4" width="5.28515625" style="612" bestFit="1" customWidth="1"/>
    <col min="5" max="5" width="9.5703125" style="611" customWidth="1"/>
    <col min="6" max="6" width="9.7109375" style="611" customWidth="1"/>
    <col min="7" max="7" width="12.7109375" style="611" customWidth="1"/>
    <col min="8" max="8" width="9.85546875" style="611" customWidth="1"/>
    <col min="9" max="9" width="8.85546875" style="611" customWidth="1"/>
    <col min="10" max="10" width="11.5703125" style="611" bestFit="1" customWidth="1"/>
    <col min="11" max="11" width="10.85546875" style="611" bestFit="1" customWidth="1"/>
    <col min="12" max="12" width="12.7109375" style="611" bestFit="1" customWidth="1"/>
    <col min="13" max="13" width="12.140625" style="611" bestFit="1" customWidth="1"/>
    <col min="14" max="14" width="13" style="611" customWidth="1"/>
    <col min="15" max="15" width="12.28515625" style="611" bestFit="1" customWidth="1"/>
    <col min="16" max="16" width="3.28515625" style="611" customWidth="1"/>
    <col min="17" max="257" width="9.140625" style="611"/>
    <col min="258" max="258" width="9.85546875" style="611" bestFit="1" customWidth="1"/>
    <col min="259" max="259" width="80.7109375" style="611" customWidth="1"/>
    <col min="260" max="260" width="6.28515625" style="611" bestFit="1" customWidth="1"/>
    <col min="261" max="261" width="13.7109375" style="611" customWidth="1"/>
    <col min="262" max="262" width="16.7109375" style="611" customWidth="1"/>
    <col min="263" max="263" width="19.42578125" style="611" customWidth="1"/>
    <col min="264" max="264" width="17" style="611" customWidth="1"/>
    <col min="265" max="265" width="13.7109375" style="611" customWidth="1"/>
    <col min="266" max="266" width="15.7109375" style="611" bestFit="1" customWidth="1"/>
    <col min="267" max="267" width="12.140625" style="611" bestFit="1" customWidth="1"/>
    <col min="268" max="268" width="17.140625" style="611" customWidth="1"/>
    <col min="269" max="269" width="16" style="611" bestFit="1" customWidth="1"/>
    <col min="270" max="270" width="13.7109375" style="611" customWidth="1"/>
    <col min="271" max="271" width="12.28515625" style="611" bestFit="1" customWidth="1"/>
    <col min="272" max="272" width="3.28515625" style="611" customWidth="1"/>
    <col min="273" max="513" width="9.140625" style="611"/>
    <col min="514" max="514" width="9.85546875" style="611" bestFit="1" customWidth="1"/>
    <col min="515" max="515" width="80.7109375" style="611" customWidth="1"/>
    <col min="516" max="516" width="6.28515625" style="611" bestFit="1" customWidth="1"/>
    <col min="517" max="517" width="13.7109375" style="611" customWidth="1"/>
    <col min="518" max="518" width="16.7109375" style="611" customWidth="1"/>
    <col min="519" max="519" width="19.42578125" style="611" customWidth="1"/>
    <col min="520" max="520" width="17" style="611" customWidth="1"/>
    <col min="521" max="521" width="13.7109375" style="611" customWidth="1"/>
    <col min="522" max="522" width="15.7109375" style="611" bestFit="1" customWidth="1"/>
    <col min="523" max="523" width="12.140625" style="611" bestFit="1" customWidth="1"/>
    <col min="524" max="524" width="17.140625" style="611" customWidth="1"/>
    <col min="525" max="525" width="16" style="611" bestFit="1" customWidth="1"/>
    <col min="526" max="526" width="13.7109375" style="611" customWidth="1"/>
    <col min="527" max="527" width="12.28515625" style="611" bestFit="1" customWidth="1"/>
    <col min="528" max="528" width="3.28515625" style="611" customWidth="1"/>
    <col min="529" max="769" width="9.140625" style="611"/>
    <col min="770" max="770" width="9.85546875" style="611" bestFit="1" customWidth="1"/>
    <col min="771" max="771" width="80.7109375" style="611" customWidth="1"/>
    <col min="772" max="772" width="6.28515625" style="611" bestFit="1" customWidth="1"/>
    <col min="773" max="773" width="13.7109375" style="611" customWidth="1"/>
    <col min="774" max="774" width="16.7109375" style="611" customWidth="1"/>
    <col min="775" max="775" width="19.42578125" style="611" customWidth="1"/>
    <col min="776" max="776" width="17" style="611" customWidth="1"/>
    <col min="777" max="777" width="13.7109375" style="611" customWidth="1"/>
    <col min="778" max="778" width="15.7109375" style="611" bestFit="1" customWidth="1"/>
    <col min="779" max="779" width="12.140625" style="611" bestFit="1" customWidth="1"/>
    <col min="780" max="780" width="17.140625" style="611" customWidth="1"/>
    <col min="781" max="781" width="16" style="611" bestFit="1" customWidth="1"/>
    <col min="782" max="782" width="13.7109375" style="611" customWidth="1"/>
    <col min="783" max="783" width="12.28515625" style="611" bestFit="1" customWidth="1"/>
    <col min="784" max="784" width="3.28515625" style="611" customWidth="1"/>
    <col min="785" max="1025" width="9.140625" style="611"/>
    <col min="1026" max="1026" width="9.85546875" style="611" bestFit="1" customWidth="1"/>
    <col min="1027" max="1027" width="80.7109375" style="611" customWidth="1"/>
    <col min="1028" max="1028" width="6.28515625" style="611" bestFit="1" customWidth="1"/>
    <col min="1029" max="1029" width="13.7109375" style="611" customWidth="1"/>
    <col min="1030" max="1030" width="16.7109375" style="611" customWidth="1"/>
    <col min="1031" max="1031" width="19.42578125" style="611" customWidth="1"/>
    <col min="1032" max="1032" width="17" style="611" customWidth="1"/>
    <col min="1033" max="1033" width="13.7109375" style="611" customWidth="1"/>
    <col min="1034" max="1034" width="15.7109375" style="611" bestFit="1" customWidth="1"/>
    <col min="1035" max="1035" width="12.140625" style="611" bestFit="1" customWidth="1"/>
    <col min="1036" max="1036" width="17.140625" style="611" customWidth="1"/>
    <col min="1037" max="1037" width="16" style="611" bestFit="1" customWidth="1"/>
    <col min="1038" max="1038" width="13.7109375" style="611" customWidth="1"/>
    <col min="1039" max="1039" width="12.28515625" style="611" bestFit="1" customWidth="1"/>
    <col min="1040" max="1040" width="3.28515625" style="611" customWidth="1"/>
    <col min="1041" max="1281" width="9.140625" style="611"/>
    <col min="1282" max="1282" width="9.85546875" style="611" bestFit="1" customWidth="1"/>
    <col min="1283" max="1283" width="80.7109375" style="611" customWidth="1"/>
    <col min="1284" max="1284" width="6.28515625" style="611" bestFit="1" customWidth="1"/>
    <col min="1285" max="1285" width="13.7109375" style="611" customWidth="1"/>
    <col min="1286" max="1286" width="16.7109375" style="611" customWidth="1"/>
    <col min="1287" max="1287" width="19.42578125" style="611" customWidth="1"/>
    <col min="1288" max="1288" width="17" style="611" customWidth="1"/>
    <col min="1289" max="1289" width="13.7109375" style="611" customWidth="1"/>
    <col min="1290" max="1290" width="15.7109375" style="611" bestFit="1" customWidth="1"/>
    <col min="1291" max="1291" width="12.140625" style="611" bestFit="1" customWidth="1"/>
    <col min="1292" max="1292" width="17.140625" style="611" customWidth="1"/>
    <col min="1293" max="1293" width="16" style="611" bestFit="1" customWidth="1"/>
    <col min="1294" max="1294" width="13.7109375" style="611" customWidth="1"/>
    <col min="1295" max="1295" width="12.28515625" style="611" bestFit="1" customWidth="1"/>
    <col min="1296" max="1296" width="3.28515625" style="611" customWidth="1"/>
    <col min="1297" max="1537" width="9.140625" style="611"/>
    <col min="1538" max="1538" width="9.85546875" style="611" bestFit="1" customWidth="1"/>
    <col min="1539" max="1539" width="80.7109375" style="611" customWidth="1"/>
    <col min="1540" max="1540" width="6.28515625" style="611" bestFit="1" customWidth="1"/>
    <col min="1541" max="1541" width="13.7109375" style="611" customWidth="1"/>
    <col min="1542" max="1542" width="16.7109375" style="611" customWidth="1"/>
    <col min="1543" max="1543" width="19.42578125" style="611" customWidth="1"/>
    <col min="1544" max="1544" width="17" style="611" customWidth="1"/>
    <col min="1545" max="1545" width="13.7109375" style="611" customWidth="1"/>
    <col min="1546" max="1546" width="15.7109375" style="611" bestFit="1" customWidth="1"/>
    <col min="1547" max="1547" width="12.140625" style="611" bestFit="1" customWidth="1"/>
    <col min="1548" max="1548" width="17.140625" style="611" customWidth="1"/>
    <col min="1549" max="1549" width="16" style="611" bestFit="1" customWidth="1"/>
    <col min="1550" max="1550" width="13.7109375" style="611" customWidth="1"/>
    <col min="1551" max="1551" width="12.28515625" style="611" bestFit="1" customWidth="1"/>
    <col min="1552" max="1552" width="3.28515625" style="611" customWidth="1"/>
    <col min="1553" max="1793" width="9.140625" style="611"/>
    <col min="1794" max="1794" width="9.85546875" style="611" bestFit="1" customWidth="1"/>
    <col min="1795" max="1795" width="80.7109375" style="611" customWidth="1"/>
    <col min="1796" max="1796" width="6.28515625" style="611" bestFit="1" customWidth="1"/>
    <col min="1797" max="1797" width="13.7109375" style="611" customWidth="1"/>
    <col min="1798" max="1798" width="16.7109375" style="611" customWidth="1"/>
    <col min="1799" max="1799" width="19.42578125" style="611" customWidth="1"/>
    <col min="1800" max="1800" width="17" style="611" customWidth="1"/>
    <col min="1801" max="1801" width="13.7109375" style="611" customWidth="1"/>
    <col min="1802" max="1802" width="15.7109375" style="611" bestFit="1" customWidth="1"/>
    <col min="1803" max="1803" width="12.140625" style="611" bestFit="1" customWidth="1"/>
    <col min="1804" max="1804" width="17.140625" style="611" customWidth="1"/>
    <col min="1805" max="1805" width="16" style="611" bestFit="1" customWidth="1"/>
    <col min="1806" max="1806" width="13.7109375" style="611" customWidth="1"/>
    <col min="1807" max="1807" width="12.28515625" style="611" bestFit="1" customWidth="1"/>
    <col min="1808" max="1808" width="3.28515625" style="611" customWidth="1"/>
    <col min="1809" max="2049" width="9.140625" style="611"/>
    <col min="2050" max="2050" width="9.85546875" style="611" bestFit="1" customWidth="1"/>
    <col min="2051" max="2051" width="80.7109375" style="611" customWidth="1"/>
    <col min="2052" max="2052" width="6.28515625" style="611" bestFit="1" customWidth="1"/>
    <col min="2053" max="2053" width="13.7109375" style="611" customWidth="1"/>
    <col min="2054" max="2054" width="16.7109375" style="611" customWidth="1"/>
    <col min="2055" max="2055" width="19.42578125" style="611" customWidth="1"/>
    <col min="2056" max="2056" width="17" style="611" customWidth="1"/>
    <col min="2057" max="2057" width="13.7109375" style="611" customWidth="1"/>
    <col min="2058" max="2058" width="15.7109375" style="611" bestFit="1" customWidth="1"/>
    <col min="2059" max="2059" width="12.140625" style="611" bestFit="1" customWidth="1"/>
    <col min="2060" max="2060" width="17.140625" style="611" customWidth="1"/>
    <col min="2061" max="2061" width="16" style="611" bestFit="1" customWidth="1"/>
    <col min="2062" max="2062" width="13.7109375" style="611" customWidth="1"/>
    <col min="2063" max="2063" width="12.28515625" style="611" bestFit="1" customWidth="1"/>
    <col min="2064" max="2064" width="3.28515625" style="611" customWidth="1"/>
    <col min="2065" max="2305" width="9.140625" style="611"/>
    <col min="2306" max="2306" width="9.85546875" style="611" bestFit="1" customWidth="1"/>
    <col min="2307" max="2307" width="80.7109375" style="611" customWidth="1"/>
    <col min="2308" max="2308" width="6.28515625" style="611" bestFit="1" customWidth="1"/>
    <col min="2309" max="2309" width="13.7109375" style="611" customWidth="1"/>
    <col min="2310" max="2310" width="16.7109375" style="611" customWidth="1"/>
    <col min="2311" max="2311" width="19.42578125" style="611" customWidth="1"/>
    <col min="2312" max="2312" width="17" style="611" customWidth="1"/>
    <col min="2313" max="2313" width="13.7109375" style="611" customWidth="1"/>
    <col min="2314" max="2314" width="15.7109375" style="611" bestFit="1" customWidth="1"/>
    <col min="2315" max="2315" width="12.140625" style="611" bestFit="1" customWidth="1"/>
    <col min="2316" max="2316" width="17.140625" style="611" customWidth="1"/>
    <col min="2317" max="2317" width="16" style="611" bestFit="1" customWidth="1"/>
    <col min="2318" max="2318" width="13.7109375" style="611" customWidth="1"/>
    <col min="2319" max="2319" width="12.28515625" style="611" bestFit="1" customWidth="1"/>
    <col min="2320" max="2320" width="3.28515625" style="611" customWidth="1"/>
    <col min="2321" max="2561" width="9.140625" style="611"/>
    <col min="2562" max="2562" width="9.85546875" style="611" bestFit="1" customWidth="1"/>
    <col min="2563" max="2563" width="80.7109375" style="611" customWidth="1"/>
    <col min="2564" max="2564" width="6.28515625" style="611" bestFit="1" customWidth="1"/>
    <col min="2565" max="2565" width="13.7109375" style="611" customWidth="1"/>
    <col min="2566" max="2566" width="16.7109375" style="611" customWidth="1"/>
    <col min="2567" max="2567" width="19.42578125" style="611" customWidth="1"/>
    <col min="2568" max="2568" width="17" style="611" customWidth="1"/>
    <col min="2569" max="2569" width="13.7109375" style="611" customWidth="1"/>
    <col min="2570" max="2570" width="15.7109375" style="611" bestFit="1" customWidth="1"/>
    <col min="2571" max="2571" width="12.140625" style="611" bestFit="1" customWidth="1"/>
    <col min="2572" max="2572" width="17.140625" style="611" customWidth="1"/>
    <col min="2573" max="2573" width="16" style="611" bestFit="1" customWidth="1"/>
    <col min="2574" max="2574" width="13.7109375" style="611" customWidth="1"/>
    <col min="2575" max="2575" width="12.28515625" style="611" bestFit="1" customWidth="1"/>
    <col min="2576" max="2576" width="3.28515625" style="611" customWidth="1"/>
    <col min="2577" max="2817" width="9.140625" style="611"/>
    <col min="2818" max="2818" width="9.85546875" style="611" bestFit="1" customWidth="1"/>
    <col min="2819" max="2819" width="80.7109375" style="611" customWidth="1"/>
    <col min="2820" max="2820" width="6.28515625" style="611" bestFit="1" customWidth="1"/>
    <col min="2821" max="2821" width="13.7109375" style="611" customWidth="1"/>
    <col min="2822" max="2822" width="16.7109375" style="611" customWidth="1"/>
    <col min="2823" max="2823" width="19.42578125" style="611" customWidth="1"/>
    <col min="2824" max="2824" width="17" style="611" customWidth="1"/>
    <col min="2825" max="2825" width="13.7109375" style="611" customWidth="1"/>
    <col min="2826" max="2826" width="15.7109375" style="611" bestFit="1" customWidth="1"/>
    <col min="2827" max="2827" width="12.140625" style="611" bestFit="1" customWidth="1"/>
    <col min="2828" max="2828" width="17.140625" style="611" customWidth="1"/>
    <col min="2829" max="2829" width="16" style="611" bestFit="1" customWidth="1"/>
    <col min="2830" max="2830" width="13.7109375" style="611" customWidth="1"/>
    <col min="2831" max="2831" width="12.28515625" style="611" bestFit="1" customWidth="1"/>
    <col min="2832" max="2832" width="3.28515625" style="611" customWidth="1"/>
    <col min="2833" max="3073" width="9.140625" style="611"/>
    <col min="3074" max="3074" width="9.85546875" style="611" bestFit="1" customWidth="1"/>
    <col min="3075" max="3075" width="80.7109375" style="611" customWidth="1"/>
    <col min="3076" max="3076" width="6.28515625" style="611" bestFit="1" customWidth="1"/>
    <col min="3077" max="3077" width="13.7109375" style="611" customWidth="1"/>
    <col min="3078" max="3078" width="16.7109375" style="611" customWidth="1"/>
    <col min="3079" max="3079" width="19.42578125" style="611" customWidth="1"/>
    <col min="3080" max="3080" width="17" style="611" customWidth="1"/>
    <col min="3081" max="3081" width="13.7109375" style="611" customWidth="1"/>
    <col min="3082" max="3082" width="15.7109375" style="611" bestFit="1" customWidth="1"/>
    <col min="3083" max="3083" width="12.140625" style="611" bestFit="1" customWidth="1"/>
    <col min="3084" max="3084" width="17.140625" style="611" customWidth="1"/>
    <col min="3085" max="3085" width="16" style="611" bestFit="1" customWidth="1"/>
    <col min="3086" max="3086" width="13.7109375" style="611" customWidth="1"/>
    <col min="3087" max="3087" width="12.28515625" style="611" bestFit="1" customWidth="1"/>
    <col min="3088" max="3088" width="3.28515625" style="611" customWidth="1"/>
    <col min="3089" max="3329" width="9.140625" style="611"/>
    <col min="3330" max="3330" width="9.85546875" style="611" bestFit="1" customWidth="1"/>
    <col min="3331" max="3331" width="80.7109375" style="611" customWidth="1"/>
    <col min="3332" max="3332" width="6.28515625" style="611" bestFit="1" customWidth="1"/>
    <col min="3333" max="3333" width="13.7109375" style="611" customWidth="1"/>
    <col min="3334" max="3334" width="16.7109375" style="611" customWidth="1"/>
    <col min="3335" max="3335" width="19.42578125" style="611" customWidth="1"/>
    <col min="3336" max="3336" width="17" style="611" customWidth="1"/>
    <col min="3337" max="3337" width="13.7109375" style="611" customWidth="1"/>
    <col min="3338" max="3338" width="15.7109375" style="611" bestFit="1" customWidth="1"/>
    <col min="3339" max="3339" width="12.140625" style="611" bestFit="1" customWidth="1"/>
    <col min="3340" max="3340" width="17.140625" style="611" customWidth="1"/>
    <col min="3341" max="3341" width="16" style="611" bestFit="1" customWidth="1"/>
    <col min="3342" max="3342" width="13.7109375" style="611" customWidth="1"/>
    <col min="3343" max="3343" width="12.28515625" style="611" bestFit="1" customWidth="1"/>
    <col min="3344" max="3344" width="3.28515625" style="611" customWidth="1"/>
    <col min="3345" max="3585" width="9.140625" style="611"/>
    <col min="3586" max="3586" width="9.85546875" style="611" bestFit="1" customWidth="1"/>
    <col min="3587" max="3587" width="80.7109375" style="611" customWidth="1"/>
    <col min="3588" max="3588" width="6.28515625" style="611" bestFit="1" customWidth="1"/>
    <col min="3589" max="3589" width="13.7109375" style="611" customWidth="1"/>
    <col min="3590" max="3590" width="16.7109375" style="611" customWidth="1"/>
    <col min="3591" max="3591" width="19.42578125" style="611" customWidth="1"/>
    <col min="3592" max="3592" width="17" style="611" customWidth="1"/>
    <col min="3593" max="3593" width="13.7109375" style="611" customWidth="1"/>
    <col min="3594" max="3594" width="15.7109375" style="611" bestFit="1" customWidth="1"/>
    <col min="3595" max="3595" width="12.140625" style="611" bestFit="1" customWidth="1"/>
    <col min="3596" max="3596" width="17.140625" style="611" customWidth="1"/>
    <col min="3597" max="3597" width="16" style="611" bestFit="1" customWidth="1"/>
    <col min="3598" max="3598" width="13.7109375" style="611" customWidth="1"/>
    <col min="3599" max="3599" width="12.28515625" style="611" bestFit="1" customWidth="1"/>
    <col min="3600" max="3600" width="3.28515625" style="611" customWidth="1"/>
    <col min="3601" max="3841" width="9.140625" style="611"/>
    <col min="3842" max="3842" width="9.85546875" style="611" bestFit="1" customWidth="1"/>
    <col min="3843" max="3843" width="80.7109375" style="611" customWidth="1"/>
    <col min="3844" max="3844" width="6.28515625" style="611" bestFit="1" customWidth="1"/>
    <col min="3845" max="3845" width="13.7109375" style="611" customWidth="1"/>
    <col min="3846" max="3846" width="16.7109375" style="611" customWidth="1"/>
    <col min="3847" max="3847" width="19.42578125" style="611" customWidth="1"/>
    <col min="3848" max="3848" width="17" style="611" customWidth="1"/>
    <col min="3849" max="3849" width="13.7109375" style="611" customWidth="1"/>
    <col min="3850" max="3850" width="15.7109375" style="611" bestFit="1" customWidth="1"/>
    <col min="3851" max="3851" width="12.140625" style="611" bestFit="1" customWidth="1"/>
    <col min="3852" max="3852" width="17.140625" style="611" customWidth="1"/>
    <col min="3853" max="3853" width="16" style="611" bestFit="1" customWidth="1"/>
    <col min="3854" max="3854" width="13.7109375" style="611" customWidth="1"/>
    <col min="3855" max="3855" width="12.28515625" style="611" bestFit="1" customWidth="1"/>
    <col min="3856" max="3856" width="3.28515625" style="611" customWidth="1"/>
    <col min="3857" max="4097" width="9.140625" style="611"/>
    <col min="4098" max="4098" width="9.85546875" style="611" bestFit="1" customWidth="1"/>
    <col min="4099" max="4099" width="80.7109375" style="611" customWidth="1"/>
    <col min="4100" max="4100" width="6.28515625" style="611" bestFit="1" customWidth="1"/>
    <col min="4101" max="4101" width="13.7109375" style="611" customWidth="1"/>
    <col min="4102" max="4102" width="16.7109375" style="611" customWidth="1"/>
    <col min="4103" max="4103" width="19.42578125" style="611" customWidth="1"/>
    <col min="4104" max="4104" width="17" style="611" customWidth="1"/>
    <col min="4105" max="4105" width="13.7109375" style="611" customWidth="1"/>
    <col min="4106" max="4106" width="15.7109375" style="611" bestFit="1" customWidth="1"/>
    <col min="4107" max="4107" width="12.140625" style="611" bestFit="1" customWidth="1"/>
    <col min="4108" max="4108" width="17.140625" style="611" customWidth="1"/>
    <col min="4109" max="4109" width="16" style="611" bestFit="1" customWidth="1"/>
    <col min="4110" max="4110" width="13.7109375" style="611" customWidth="1"/>
    <col min="4111" max="4111" width="12.28515625" style="611" bestFit="1" customWidth="1"/>
    <col min="4112" max="4112" width="3.28515625" style="611" customWidth="1"/>
    <col min="4113" max="4353" width="9.140625" style="611"/>
    <col min="4354" max="4354" width="9.85546875" style="611" bestFit="1" customWidth="1"/>
    <col min="4355" max="4355" width="80.7109375" style="611" customWidth="1"/>
    <col min="4356" max="4356" width="6.28515625" style="611" bestFit="1" customWidth="1"/>
    <col min="4357" max="4357" width="13.7109375" style="611" customWidth="1"/>
    <col min="4358" max="4358" width="16.7109375" style="611" customWidth="1"/>
    <col min="4359" max="4359" width="19.42578125" style="611" customWidth="1"/>
    <col min="4360" max="4360" width="17" style="611" customWidth="1"/>
    <col min="4361" max="4361" width="13.7109375" style="611" customWidth="1"/>
    <col min="4362" max="4362" width="15.7109375" style="611" bestFit="1" customWidth="1"/>
    <col min="4363" max="4363" width="12.140625" style="611" bestFit="1" customWidth="1"/>
    <col min="4364" max="4364" width="17.140625" style="611" customWidth="1"/>
    <col min="4365" max="4365" width="16" style="611" bestFit="1" customWidth="1"/>
    <col min="4366" max="4366" width="13.7109375" style="611" customWidth="1"/>
    <col min="4367" max="4367" width="12.28515625" style="611" bestFit="1" customWidth="1"/>
    <col min="4368" max="4368" width="3.28515625" style="611" customWidth="1"/>
    <col min="4369" max="4609" width="9.140625" style="611"/>
    <col min="4610" max="4610" width="9.85546875" style="611" bestFit="1" customWidth="1"/>
    <col min="4611" max="4611" width="80.7109375" style="611" customWidth="1"/>
    <col min="4612" max="4612" width="6.28515625" style="611" bestFit="1" customWidth="1"/>
    <col min="4613" max="4613" width="13.7109375" style="611" customWidth="1"/>
    <col min="4614" max="4614" width="16.7109375" style="611" customWidth="1"/>
    <col min="4615" max="4615" width="19.42578125" style="611" customWidth="1"/>
    <col min="4616" max="4616" width="17" style="611" customWidth="1"/>
    <col min="4617" max="4617" width="13.7109375" style="611" customWidth="1"/>
    <col min="4618" max="4618" width="15.7109375" style="611" bestFit="1" customWidth="1"/>
    <col min="4619" max="4619" width="12.140625" style="611" bestFit="1" customWidth="1"/>
    <col min="4620" max="4620" width="17.140625" style="611" customWidth="1"/>
    <col min="4621" max="4621" width="16" style="611" bestFit="1" customWidth="1"/>
    <col min="4622" max="4622" width="13.7109375" style="611" customWidth="1"/>
    <col min="4623" max="4623" width="12.28515625" style="611" bestFit="1" customWidth="1"/>
    <col min="4624" max="4624" width="3.28515625" style="611" customWidth="1"/>
    <col min="4625" max="4865" width="9.140625" style="611"/>
    <col min="4866" max="4866" width="9.85546875" style="611" bestFit="1" customWidth="1"/>
    <col min="4867" max="4867" width="80.7109375" style="611" customWidth="1"/>
    <col min="4868" max="4868" width="6.28515625" style="611" bestFit="1" customWidth="1"/>
    <col min="4869" max="4869" width="13.7109375" style="611" customWidth="1"/>
    <col min="4870" max="4870" width="16.7109375" style="611" customWidth="1"/>
    <col min="4871" max="4871" width="19.42578125" style="611" customWidth="1"/>
    <col min="4872" max="4872" width="17" style="611" customWidth="1"/>
    <col min="4873" max="4873" width="13.7109375" style="611" customWidth="1"/>
    <col min="4874" max="4874" width="15.7109375" style="611" bestFit="1" customWidth="1"/>
    <col min="4875" max="4875" width="12.140625" style="611" bestFit="1" customWidth="1"/>
    <col min="4876" max="4876" width="17.140625" style="611" customWidth="1"/>
    <col min="4877" max="4877" width="16" style="611" bestFit="1" customWidth="1"/>
    <col min="4878" max="4878" width="13.7109375" style="611" customWidth="1"/>
    <col min="4879" max="4879" width="12.28515625" style="611" bestFit="1" customWidth="1"/>
    <col min="4880" max="4880" width="3.28515625" style="611" customWidth="1"/>
    <col min="4881" max="5121" width="9.140625" style="611"/>
    <col min="5122" max="5122" width="9.85546875" style="611" bestFit="1" customWidth="1"/>
    <col min="5123" max="5123" width="80.7109375" style="611" customWidth="1"/>
    <col min="5124" max="5124" width="6.28515625" style="611" bestFit="1" customWidth="1"/>
    <col min="5125" max="5125" width="13.7109375" style="611" customWidth="1"/>
    <col min="5126" max="5126" width="16.7109375" style="611" customWidth="1"/>
    <col min="5127" max="5127" width="19.42578125" style="611" customWidth="1"/>
    <col min="5128" max="5128" width="17" style="611" customWidth="1"/>
    <col min="5129" max="5129" width="13.7109375" style="611" customWidth="1"/>
    <col min="5130" max="5130" width="15.7109375" style="611" bestFit="1" customWidth="1"/>
    <col min="5131" max="5131" width="12.140625" style="611" bestFit="1" customWidth="1"/>
    <col min="5132" max="5132" width="17.140625" style="611" customWidth="1"/>
    <col min="5133" max="5133" width="16" style="611" bestFit="1" customWidth="1"/>
    <col min="5134" max="5134" width="13.7109375" style="611" customWidth="1"/>
    <col min="5135" max="5135" width="12.28515625" style="611" bestFit="1" customWidth="1"/>
    <col min="5136" max="5136" width="3.28515625" style="611" customWidth="1"/>
    <col min="5137" max="5377" width="9.140625" style="611"/>
    <col min="5378" max="5378" width="9.85546875" style="611" bestFit="1" customWidth="1"/>
    <col min="5379" max="5379" width="80.7109375" style="611" customWidth="1"/>
    <col min="5380" max="5380" width="6.28515625" style="611" bestFit="1" customWidth="1"/>
    <col min="5381" max="5381" width="13.7109375" style="611" customWidth="1"/>
    <col min="5382" max="5382" width="16.7109375" style="611" customWidth="1"/>
    <col min="5383" max="5383" width="19.42578125" style="611" customWidth="1"/>
    <col min="5384" max="5384" width="17" style="611" customWidth="1"/>
    <col min="5385" max="5385" width="13.7109375" style="611" customWidth="1"/>
    <col min="5386" max="5386" width="15.7109375" style="611" bestFit="1" customWidth="1"/>
    <col min="5387" max="5387" width="12.140625" style="611" bestFit="1" customWidth="1"/>
    <col min="5388" max="5388" width="17.140625" style="611" customWidth="1"/>
    <col min="5389" max="5389" width="16" style="611" bestFit="1" customWidth="1"/>
    <col min="5390" max="5390" width="13.7109375" style="611" customWidth="1"/>
    <col min="5391" max="5391" width="12.28515625" style="611" bestFit="1" customWidth="1"/>
    <col min="5392" max="5392" width="3.28515625" style="611" customWidth="1"/>
    <col min="5393" max="5633" width="9.140625" style="611"/>
    <col min="5634" max="5634" width="9.85546875" style="611" bestFit="1" customWidth="1"/>
    <col min="5635" max="5635" width="80.7109375" style="611" customWidth="1"/>
    <col min="5636" max="5636" width="6.28515625" style="611" bestFit="1" customWidth="1"/>
    <col min="5637" max="5637" width="13.7109375" style="611" customWidth="1"/>
    <col min="5638" max="5638" width="16.7109375" style="611" customWidth="1"/>
    <col min="5639" max="5639" width="19.42578125" style="611" customWidth="1"/>
    <col min="5640" max="5640" width="17" style="611" customWidth="1"/>
    <col min="5641" max="5641" width="13.7109375" style="611" customWidth="1"/>
    <col min="5642" max="5642" width="15.7109375" style="611" bestFit="1" customWidth="1"/>
    <col min="5643" max="5643" width="12.140625" style="611" bestFit="1" customWidth="1"/>
    <col min="5644" max="5644" width="17.140625" style="611" customWidth="1"/>
    <col min="5645" max="5645" width="16" style="611" bestFit="1" customWidth="1"/>
    <col min="5646" max="5646" width="13.7109375" style="611" customWidth="1"/>
    <col min="5647" max="5647" width="12.28515625" style="611" bestFit="1" customWidth="1"/>
    <col min="5648" max="5648" width="3.28515625" style="611" customWidth="1"/>
    <col min="5649" max="5889" width="9.140625" style="611"/>
    <col min="5890" max="5890" width="9.85546875" style="611" bestFit="1" customWidth="1"/>
    <col min="5891" max="5891" width="80.7109375" style="611" customWidth="1"/>
    <col min="5892" max="5892" width="6.28515625" style="611" bestFit="1" customWidth="1"/>
    <col min="5893" max="5893" width="13.7109375" style="611" customWidth="1"/>
    <col min="5894" max="5894" width="16.7109375" style="611" customWidth="1"/>
    <col min="5895" max="5895" width="19.42578125" style="611" customWidth="1"/>
    <col min="5896" max="5896" width="17" style="611" customWidth="1"/>
    <col min="5897" max="5897" width="13.7109375" style="611" customWidth="1"/>
    <col min="5898" max="5898" width="15.7109375" style="611" bestFit="1" customWidth="1"/>
    <col min="5899" max="5899" width="12.140625" style="611" bestFit="1" customWidth="1"/>
    <col min="5900" max="5900" width="17.140625" style="611" customWidth="1"/>
    <col min="5901" max="5901" width="16" style="611" bestFit="1" customWidth="1"/>
    <col min="5902" max="5902" width="13.7109375" style="611" customWidth="1"/>
    <col min="5903" max="5903" width="12.28515625" style="611" bestFit="1" customWidth="1"/>
    <col min="5904" max="5904" width="3.28515625" style="611" customWidth="1"/>
    <col min="5905" max="6145" width="9.140625" style="611"/>
    <col min="6146" max="6146" width="9.85546875" style="611" bestFit="1" customWidth="1"/>
    <col min="6147" max="6147" width="80.7109375" style="611" customWidth="1"/>
    <col min="6148" max="6148" width="6.28515625" style="611" bestFit="1" customWidth="1"/>
    <col min="6149" max="6149" width="13.7109375" style="611" customWidth="1"/>
    <col min="6150" max="6150" width="16.7109375" style="611" customWidth="1"/>
    <col min="6151" max="6151" width="19.42578125" style="611" customWidth="1"/>
    <col min="6152" max="6152" width="17" style="611" customWidth="1"/>
    <col min="6153" max="6153" width="13.7109375" style="611" customWidth="1"/>
    <col min="6154" max="6154" width="15.7109375" style="611" bestFit="1" customWidth="1"/>
    <col min="6155" max="6155" width="12.140625" style="611" bestFit="1" customWidth="1"/>
    <col min="6156" max="6156" width="17.140625" style="611" customWidth="1"/>
    <col min="6157" max="6157" width="16" style="611" bestFit="1" customWidth="1"/>
    <col min="6158" max="6158" width="13.7109375" style="611" customWidth="1"/>
    <col min="6159" max="6159" width="12.28515625" style="611" bestFit="1" customWidth="1"/>
    <col min="6160" max="6160" width="3.28515625" style="611" customWidth="1"/>
    <col min="6161" max="6401" width="9.140625" style="611"/>
    <col min="6402" max="6402" width="9.85546875" style="611" bestFit="1" customWidth="1"/>
    <col min="6403" max="6403" width="80.7109375" style="611" customWidth="1"/>
    <col min="6404" max="6404" width="6.28515625" style="611" bestFit="1" customWidth="1"/>
    <col min="6405" max="6405" width="13.7109375" style="611" customWidth="1"/>
    <col min="6406" max="6406" width="16.7109375" style="611" customWidth="1"/>
    <col min="6407" max="6407" width="19.42578125" style="611" customWidth="1"/>
    <col min="6408" max="6408" width="17" style="611" customWidth="1"/>
    <col min="6409" max="6409" width="13.7109375" style="611" customWidth="1"/>
    <col min="6410" max="6410" width="15.7109375" style="611" bestFit="1" customWidth="1"/>
    <col min="6411" max="6411" width="12.140625" style="611" bestFit="1" customWidth="1"/>
    <col min="6412" max="6412" width="17.140625" style="611" customWidth="1"/>
    <col min="6413" max="6413" width="16" style="611" bestFit="1" customWidth="1"/>
    <col min="6414" max="6414" width="13.7109375" style="611" customWidth="1"/>
    <col min="6415" max="6415" width="12.28515625" style="611" bestFit="1" customWidth="1"/>
    <col min="6416" max="6416" width="3.28515625" style="611" customWidth="1"/>
    <col min="6417" max="6657" width="9.140625" style="611"/>
    <col min="6658" max="6658" width="9.85546875" style="611" bestFit="1" customWidth="1"/>
    <col min="6659" max="6659" width="80.7109375" style="611" customWidth="1"/>
    <col min="6660" max="6660" width="6.28515625" style="611" bestFit="1" customWidth="1"/>
    <col min="6661" max="6661" width="13.7109375" style="611" customWidth="1"/>
    <col min="6662" max="6662" width="16.7109375" style="611" customWidth="1"/>
    <col min="6663" max="6663" width="19.42578125" style="611" customWidth="1"/>
    <col min="6664" max="6664" width="17" style="611" customWidth="1"/>
    <col min="6665" max="6665" width="13.7109375" style="611" customWidth="1"/>
    <col min="6666" max="6666" width="15.7109375" style="611" bestFit="1" customWidth="1"/>
    <col min="6667" max="6667" width="12.140625" style="611" bestFit="1" customWidth="1"/>
    <col min="6668" max="6668" width="17.140625" style="611" customWidth="1"/>
    <col min="6669" max="6669" width="16" style="611" bestFit="1" customWidth="1"/>
    <col min="6670" max="6670" width="13.7109375" style="611" customWidth="1"/>
    <col min="6671" max="6671" width="12.28515625" style="611" bestFit="1" customWidth="1"/>
    <col min="6672" max="6672" width="3.28515625" style="611" customWidth="1"/>
    <col min="6673" max="6913" width="9.140625" style="611"/>
    <col min="6914" max="6914" width="9.85546875" style="611" bestFit="1" customWidth="1"/>
    <col min="6915" max="6915" width="80.7109375" style="611" customWidth="1"/>
    <col min="6916" max="6916" width="6.28515625" style="611" bestFit="1" customWidth="1"/>
    <col min="6917" max="6917" width="13.7109375" style="611" customWidth="1"/>
    <col min="6918" max="6918" width="16.7109375" style="611" customWidth="1"/>
    <col min="6919" max="6919" width="19.42578125" style="611" customWidth="1"/>
    <col min="6920" max="6920" width="17" style="611" customWidth="1"/>
    <col min="6921" max="6921" width="13.7109375" style="611" customWidth="1"/>
    <col min="6922" max="6922" width="15.7109375" style="611" bestFit="1" customWidth="1"/>
    <col min="6923" max="6923" width="12.140625" style="611" bestFit="1" customWidth="1"/>
    <col min="6924" max="6924" width="17.140625" style="611" customWidth="1"/>
    <col min="6925" max="6925" width="16" style="611" bestFit="1" customWidth="1"/>
    <col min="6926" max="6926" width="13.7109375" style="611" customWidth="1"/>
    <col min="6927" max="6927" width="12.28515625" style="611" bestFit="1" customWidth="1"/>
    <col min="6928" max="6928" width="3.28515625" style="611" customWidth="1"/>
    <col min="6929" max="7169" width="9.140625" style="611"/>
    <col min="7170" max="7170" width="9.85546875" style="611" bestFit="1" customWidth="1"/>
    <col min="7171" max="7171" width="80.7109375" style="611" customWidth="1"/>
    <col min="7172" max="7172" width="6.28515625" style="611" bestFit="1" customWidth="1"/>
    <col min="7173" max="7173" width="13.7109375" style="611" customWidth="1"/>
    <col min="7174" max="7174" width="16.7109375" style="611" customWidth="1"/>
    <col min="7175" max="7175" width="19.42578125" style="611" customWidth="1"/>
    <col min="7176" max="7176" width="17" style="611" customWidth="1"/>
    <col min="7177" max="7177" width="13.7109375" style="611" customWidth="1"/>
    <col min="7178" max="7178" width="15.7109375" style="611" bestFit="1" customWidth="1"/>
    <col min="7179" max="7179" width="12.140625" style="611" bestFit="1" customWidth="1"/>
    <col min="7180" max="7180" width="17.140625" style="611" customWidth="1"/>
    <col min="7181" max="7181" width="16" style="611" bestFit="1" customWidth="1"/>
    <col min="7182" max="7182" width="13.7109375" style="611" customWidth="1"/>
    <col min="7183" max="7183" width="12.28515625" style="611" bestFit="1" customWidth="1"/>
    <col min="7184" max="7184" width="3.28515625" style="611" customWidth="1"/>
    <col min="7185" max="7425" width="9.140625" style="611"/>
    <col min="7426" max="7426" width="9.85546875" style="611" bestFit="1" customWidth="1"/>
    <col min="7427" max="7427" width="80.7109375" style="611" customWidth="1"/>
    <col min="7428" max="7428" width="6.28515625" style="611" bestFit="1" customWidth="1"/>
    <col min="7429" max="7429" width="13.7109375" style="611" customWidth="1"/>
    <col min="7430" max="7430" width="16.7109375" style="611" customWidth="1"/>
    <col min="7431" max="7431" width="19.42578125" style="611" customWidth="1"/>
    <col min="7432" max="7432" width="17" style="611" customWidth="1"/>
    <col min="7433" max="7433" width="13.7109375" style="611" customWidth="1"/>
    <col min="7434" max="7434" width="15.7109375" style="611" bestFit="1" customWidth="1"/>
    <col min="7435" max="7435" width="12.140625" style="611" bestFit="1" customWidth="1"/>
    <col min="7436" max="7436" width="17.140625" style="611" customWidth="1"/>
    <col min="7437" max="7437" width="16" style="611" bestFit="1" customWidth="1"/>
    <col min="7438" max="7438" width="13.7109375" style="611" customWidth="1"/>
    <col min="7439" max="7439" width="12.28515625" style="611" bestFit="1" customWidth="1"/>
    <col min="7440" max="7440" width="3.28515625" style="611" customWidth="1"/>
    <col min="7441" max="7681" width="9.140625" style="611"/>
    <col min="7682" max="7682" width="9.85546875" style="611" bestFit="1" customWidth="1"/>
    <col min="7683" max="7683" width="80.7109375" style="611" customWidth="1"/>
    <col min="7684" max="7684" width="6.28515625" style="611" bestFit="1" customWidth="1"/>
    <col min="7685" max="7685" width="13.7109375" style="611" customWidth="1"/>
    <col min="7686" max="7686" width="16.7109375" style="611" customWidth="1"/>
    <col min="7687" max="7687" width="19.42578125" style="611" customWidth="1"/>
    <col min="7688" max="7688" width="17" style="611" customWidth="1"/>
    <col min="7689" max="7689" width="13.7109375" style="611" customWidth="1"/>
    <col min="7690" max="7690" width="15.7109375" style="611" bestFit="1" customWidth="1"/>
    <col min="7691" max="7691" width="12.140625" style="611" bestFit="1" customWidth="1"/>
    <col min="7692" max="7692" width="17.140625" style="611" customWidth="1"/>
    <col min="7693" max="7693" width="16" style="611" bestFit="1" customWidth="1"/>
    <col min="7694" max="7694" width="13.7109375" style="611" customWidth="1"/>
    <col min="7695" max="7695" width="12.28515625" style="611" bestFit="1" customWidth="1"/>
    <col min="7696" max="7696" width="3.28515625" style="611" customWidth="1"/>
    <col min="7697" max="7937" width="9.140625" style="611"/>
    <col min="7938" max="7938" width="9.85546875" style="611" bestFit="1" customWidth="1"/>
    <col min="7939" max="7939" width="80.7109375" style="611" customWidth="1"/>
    <col min="7940" max="7940" width="6.28515625" style="611" bestFit="1" customWidth="1"/>
    <col min="7941" max="7941" width="13.7109375" style="611" customWidth="1"/>
    <col min="7942" max="7942" width="16.7109375" style="611" customWidth="1"/>
    <col min="7943" max="7943" width="19.42578125" style="611" customWidth="1"/>
    <col min="7944" max="7944" width="17" style="611" customWidth="1"/>
    <col min="7945" max="7945" width="13.7109375" style="611" customWidth="1"/>
    <col min="7946" max="7946" width="15.7109375" style="611" bestFit="1" customWidth="1"/>
    <col min="7947" max="7947" width="12.140625" style="611" bestFit="1" customWidth="1"/>
    <col min="7948" max="7948" width="17.140625" style="611" customWidth="1"/>
    <col min="7949" max="7949" width="16" style="611" bestFit="1" customWidth="1"/>
    <col min="7950" max="7950" width="13.7109375" style="611" customWidth="1"/>
    <col min="7951" max="7951" width="12.28515625" style="611" bestFit="1" customWidth="1"/>
    <col min="7952" max="7952" width="3.28515625" style="611" customWidth="1"/>
    <col min="7953" max="8193" width="9.140625" style="611"/>
    <col min="8194" max="8194" width="9.85546875" style="611" bestFit="1" customWidth="1"/>
    <col min="8195" max="8195" width="80.7109375" style="611" customWidth="1"/>
    <col min="8196" max="8196" width="6.28515625" style="611" bestFit="1" customWidth="1"/>
    <col min="8197" max="8197" width="13.7109375" style="611" customWidth="1"/>
    <col min="8198" max="8198" width="16.7109375" style="611" customWidth="1"/>
    <col min="8199" max="8199" width="19.42578125" style="611" customWidth="1"/>
    <col min="8200" max="8200" width="17" style="611" customWidth="1"/>
    <col min="8201" max="8201" width="13.7109375" style="611" customWidth="1"/>
    <col min="8202" max="8202" width="15.7109375" style="611" bestFit="1" customWidth="1"/>
    <col min="8203" max="8203" width="12.140625" style="611" bestFit="1" customWidth="1"/>
    <col min="8204" max="8204" width="17.140625" style="611" customWidth="1"/>
    <col min="8205" max="8205" width="16" style="611" bestFit="1" customWidth="1"/>
    <col min="8206" max="8206" width="13.7109375" style="611" customWidth="1"/>
    <col min="8207" max="8207" width="12.28515625" style="611" bestFit="1" customWidth="1"/>
    <col min="8208" max="8208" width="3.28515625" style="611" customWidth="1"/>
    <col min="8209" max="8449" width="9.140625" style="611"/>
    <col min="8450" max="8450" width="9.85546875" style="611" bestFit="1" customWidth="1"/>
    <col min="8451" max="8451" width="80.7109375" style="611" customWidth="1"/>
    <col min="8452" max="8452" width="6.28515625" style="611" bestFit="1" customWidth="1"/>
    <col min="8453" max="8453" width="13.7109375" style="611" customWidth="1"/>
    <col min="8454" max="8454" width="16.7109375" style="611" customWidth="1"/>
    <col min="8455" max="8455" width="19.42578125" style="611" customWidth="1"/>
    <col min="8456" max="8456" width="17" style="611" customWidth="1"/>
    <col min="8457" max="8457" width="13.7109375" style="611" customWidth="1"/>
    <col min="8458" max="8458" width="15.7109375" style="611" bestFit="1" customWidth="1"/>
    <col min="8459" max="8459" width="12.140625" style="611" bestFit="1" customWidth="1"/>
    <col min="8460" max="8460" width="17.140625" style="611" customWidth="1"/>
    <col min="8461" max="8461" width="16" style="611" bestFit="1" customWidth="1"/>
    <col min="8462" max="8462" width="13.7109375" style="611" customWidth="1"/>
    <col min="8463" max="8463" width="12.28515625" style="611" bestFit="1" customWidth="1"/>
    <col min="8464" max="8464" width="3.28515625" style="611" customWidth="1"/>
    <col min="8465" max="8705" width="9.140625" style="611"/>
    <col min="8706" max="8706" width="9.85546875" style="611" bestFit="1" customWidth="1"/>
    <col min="8707" max="8707" width="80.7109375" style="611" customWidth="1"/>
    <col min="8708" max="8708" width="6.28515625" style="611" bestFit="1" customWidth="1"/>
    <col min="8709" max="8709" width="13.7109375" style="611" customWidth="1"/>
    <col min="8710" max="8710" width="16.7109375" style="611" customWidth="1"/>
    <col min="8711" max="8711" width="19.42578125" style="611" customWidth="1"/>
    <col min="8712" max="8712" width="17" style="611" customWidth="1"/>
    <col min="8713" max="8713" width="13.7109375" style="611" customWidth="1"/>
    <col min="8714" max="8714" width="15.7109375" style="611" bestFit="1" customWidth="1"/>
    <col min="8715" max="8715" width="12.140625" style="611" bestFit="1" customWidth="1"/>
    <col min="8716" max="8716" width="17.140625" style="611" customWidth="1"/>
    <col min="8717" max="8717" width="16" style="611" bestFit="1" customWidth="1"/>
    <col min="8718" max="8718" width="13.7109375" style="611" customWidth="1"/>
    <col min="8719" max="8719" width="12.28515625" style="611" bestFit="1" customWidth="1"/>
    <col min="8720" max="8720" width="3.28515625" style="611" customWidth="1"/>
    <col min="8721" max="8961" width="9.140625" style="611"/>
    <col min="8962" max="8962" width="9.85546875" style="611" bestFit="1" customWidth="1"/>
    <col min="8963" max="8963" width="80.7109375" style="611" customWidth="1"/>
    <col min="8964" max="8964" width="6.28515625" style="611" bestFit="1" customWidth="1"/>
    <col min="8965" max="8965" width="13.7109375" style="611" customWidth="1"/>
    <col min="8966" max="8966" width="16.7109375" style="611" customWidth="1"/>
    <col min="8967" max="8967" width="19.42578125" style="611" customWidth="1"/>
    <col min="8968" max="8968" width="17" style="611" customWidth="1"/>
    <col min="8969" max="8969" width="13.7109375" style="611" customWidth="1"/>
    <col min="8970" max="8970" width="15.7109375" style="611" bestFit="1" customWidth="1"/>
    <col min="8971" max="8971" width="12.140625" style="611" bestFit="1" customWidth="1"/>
    <col min="8972" max="8972" width="17.140625" style="611" customWidth="1"/>
    <col min="8973" max="8973" width="16" style="611" bestFit="1" customWidth="1"/>
    <col min="8974" max="8974" width="13.7109375" style="611" customWidth="1"/>
    <col min="8975" max="8975" width="12.28515625" style="611" bestFit="1" customWidth="1"/>
    <col min="8976" max="8976" width="3.28515625" style="611" customWidth="1"/>
    <col min="8977" max="9217" width="9.140625" style="611"/>
    <col min="9218" max="9218" width="9.85546875" style="611" bestFit="1" customWidth="1"/>
    <col min="9219" max="9219" width="80.7109375" style="611" customWidth="1"/>
    <col min="9220" max="9220" width="6.28515625" style="611" bestFit="1" customWidth="1"/>
    <col min="9221" max="9221" width="13.7109375" style="611" customWidth="1"/>
    <col min="9222" max="9222" width="16.7109375" style="611" customWidth="1"/>
    <col min="9223" max="9223" width="19.42578125" style="611" customWidth="1"/>
    <col min="9224" max="9224" width="17" style="611" customWidth="1"/>
    <col min="9225" max="9225" width="13.7109375" style="611" customWidth="1"/>
    <col min="9226" max="9226" width="15.7109375" style="611" bestFit="1" customWidth="1"/>
    <col min="9227" max="9227" width="12.140625" style="611" bestFit="1" customWidth="1"/>
    <col min="9228" max="9228" width="17.140625" style="611" customWidth="1"/>
    <col min="9229" max="9229" width="16" style="611" bestFit="1" customWidth="1"/>
    <col min="9230" max="9230" width="13.7109375" style="611" customWidth="1"/>
    <col min="9231" max="9231" width="12.28515625" style="611" bestFit="1" customWidth="1"/>
    <col min="9232" max="9232" width="3.28515625" style="611" customWidth="1"/>
    <col min="9233" max="9473" width="9.140625" style="611"/>
    <col min="9474" max="9474" width="9.85546875" style="611" bestFit="1" customWidth="1"/>
    <col min="9475" max="9475" width="80.7109375" style="611" customWidth="1"/>
    <col min="9476" max="9476" width="6.28515625" style="611" bestFit="1" customWidth="1"/>
    <col min="9477" max="9477" width="13.7109375" style="611" customWidth="1"/>
    <col min="9478" max="9478" width="16.7109375" style="611" customWidth="1"/>
    <col min="9479" max="9479" width="19.42578125" style="611" customWidth="1"/>
    <col min="9480" max="9480" width="17" style="611" customWidth="1"/>
    <col min="9481" max="9481" width="13.7109375" style="611" customWidth="1"/>
    <col min="9482" max="9482" width="15.7109375" style="611" bestFit="1" customWidth="1"/>
    <col min="9483" max="9483" width="12.140625" style="611" bestFit="1" customWidth="1"/>
    <col min="9484" max="9484" width="17.140625" style="611" customWidth="1"/>
    <col min="9485" max="9485" width="16" style="611" bestFit="1" customWidth="1"/>
    <col min="9486" max="9486" width="13.7109375" style="611" customWidth="1"/>
    <col min="9487" max="9487" width="12.28515625" style="611" bestFit="1" customWidth="1"/>
    <col min="9488" max="9488" width="3.28515625" style="611" customWidth="1"/>
    <col min="9489" max="9729" width="9.140625" style="611"/>
    <col min="9730" max="9730" width="9.85546875" style="611" bestFit="1" customWidth="1"/>
    <col min="9731" max="9731" width="80.7109375" style="611" customWidth="1"/>
    <col min="9732" max="9732" width="6.28515625" style="611" bestFit="1" customWidth="1"/>
    <col min="9733" max="9733" width="13.7109375" style="611" customWidth="1"/>
    <col min="9734" max="9734" width="16.7109375" style="611" customWidth="1"/>
    <col min="9735" max="9735" width="19.42578125" style="611" customWidth="1"/>
    <col min="9736" max="9736" width="17" style="611" customWidth="1"/>
    <col min="9737" max="9737" width="13.7109375" style="611" customWidth="1"/>
    <col min="9738" max="9738" width="15.7109375" style="611" bestFit="1" customWidth="1"/>
    <col min="9739" max="9739" width="12.140625" style="611" bestFit="1" customWidth="1"/>
    <col min="9740" max="9740" width="17.140625" style="611" customWidth="1"/>
    <col min="9741" max="9741" width="16" style="611" bestFit="1" customWidth="1"/>
    <col min="9742" max="9742" width="13.7109375" style="611" customWidth="1"/>
    <col min="9743" max="9743" width="12.28515625" style="611" bestFit="1" customWidth="1"/>
    <col min="9744" max="9744" width="3.28515625" style="611" customWidth="1"/>
    <col min="9745" max="9985" width="9.140625" style="611"/>
    <col min="9986" max="9986" width="9.85546875" style="611" bestFit="1" customWidth="1"/>
    <col min="9987" max="9987" width="80.7109375" style="611" customWidth="1"/>
    <col min="9988" max="9988" width="6.28515625" style="611" bestFit="1" customWidth="1"/>
    <col min="9989" max="9989" width="13.7109375" style="611" customWidth="1"/>
    <col min="9990" max="9990" width="16.7109375" style="611" customWidth="1"/>
    <col min="9991" max="9991" width="19.42578125" style="611" customWidth="1"/>
    <col min="9992" max="9992" width="17" style="611" customWidth="1"/>
    <col min="9993" max="9993" width="13.7109375" style="611" customWidth="1"/>
    <col min="9994" max="9994" width="15.7109375" style="611" bestFit="1" customWidth="1"/>
    <col min="9995" max="9995" width="12.140625" style="611" bestFit="1" customWidth="1"/>
    <col min="9996" max="9996" width="17.140625" style="611" customWidth="1"/>
    <col min="9997" max="9997" width="16" style="611" bestFit="1" customWidth="1"/>
    <col min="9998" max="9998" width="13.7109375" style="611" customWidth="1"/>
    <col min="9999" max="9999" width="12.28515625" style="611" bestFit="1" customWidth="1"/>
    <col min="10000" max="10000" width="3.28515625" style="611" customWidth="1"/>
    <col min="10001" max="10241" width="9.140625" style="611"/>
    <col min="10242" max="10242" width="9.85546875" style="611" bestFit="1" customWidth="1"/>
    <col min="10243" max="10243" width="80.7109375" style="611" customWidth="1"/>
    <col min="10244" max="10244" width="6.28515625" style="611" bestFit="1" customWidth="1"/>
    <col min="10245" max="10245" width="13.7109375" style="611" customWidth="1"/>
    <col min="10246" max="10246" width="16.7109375" style="611" customWidth="1"/>
    <col min="10247" max="10247" width="19.42578125" style="611" customWidth="1"/>
    <col min="10248" max="10248" width="17" style="611" customWidth="1"/>
    <col min="10249" max="10249" width="13.7109375" style="611" customWidth="1"/>
    <col min="10250" max="10250" width="15.7109375" style="611" bestFit="1" customWidth="1"/>
    <col min="10251" max="10251" width="12.140625" style="611" bestFit="1" customWidth="1"/>
    <col min="10252" max="10252" width="17.140625" style="611" customWidth="1"/>
    <col min="10253" max="10253" width="16" style="611" bestFit="1" customWidth="1"/>
    <col min="10254" max="10254" width="13.7109375" style="611" customWidth="1"/>
    <col min="10255" max="10255" width="12.28515625" style="611" bestFit="1" customWidth="1"/>
    <col min="10256" max="10256" width="3.28515625" style="611" customWidth="1"/>
    <col min="10257" max="10497" width="9.140625" style="611"/>
    <col min="10498" max="10498" width="9.85546875" style="611" bestFit="1" customWidth="1"/>
    <col min="10499" max="10499" width="80.7109375" style="611" customWidth="1"/>
    <col min="10500" max="10500" width="6.28515625" style="611" bestFit="1" customWidth="1"/>
    <col min="10501" max="10501" width="13.7109375" style="611" customWidth="1"/>
    <col min="10502" max="10502" width="16.7109375" style="611" customWidth="1"/>
    <col min="10503" max="10503" width="19.42578125" style="611" customWidth="1"/>
    <col min="10504" max="10504" width="17" style="611" customWidth="1"/>
    <col min="10505" max="10505" width="13.7109375" style="611" customWidth="1"/>
    <col min="10506" max="10506" width="15.7109375" style="611" bestFit="1" customWidth="1"/>
    <col min="10507" max="10507" width="12.140625" style="611" bestFit="1" customWidth="1"/>
    <col min="10508" max="10508" width="17.140625" style="611" customWidth="1"/>
    <col min="10509" max="10509" width="16" style="611" bestFit="1" customWidth="1"/>
    <col min="10510" max="10510" width="13.7109375" style="611" customWidth="1"/>
    <col min="10511" max="10511" width="12.28515625" style="611" bestFit="1" customWidth="1"/>
    <col min="10512" max="10512" width="3.28515625" style="611" customWidth="1"/>
    <col min="10513" max="10753" width="9.140625" style="611"/>
    <col min="10754" max="10754" width="9.85546875" style="611" bestFit="1" customWidth="1"/>
    <col min="10755" max="10755" width="80.7109375" style="611" customWidth="1"/>
    <col min="10756" max="10756" width="6.28515625" style="611" bestFit="1" customWidth="1"/>
    <col min="10757" max="10757" width="13.7109375" style="611" customWidth="1"/>
    <col min="10758" max="10758" width="16.7109375" style="611" customWidth="1"/>
    <col min="10759" max="10759" width="19.42578125" style="611" customWidth="1"/>
    <col min="10760" max="10760" width="17" style="611" customWidth="1"/>
    <col min="10761" max="10761" width="13.7109375" style="611" customWidth="1"/>
    <col min="10762" max="10762" width="15.7109375" style="611" bestFit="1" customWidth="1"/>
    <col min="10763" max="10763" width="12.140625" style="611" bestFit="1" customWidth="1"/>
    <col min="10764" max="10764" width="17.140625" style="611" customWidth="1"/>
    <col min="10765" max="10765" width="16" style="611" bestFit="1" customWidth="1"/>
    <col min="10766" max="10766" width="13.7109375" style="611" customWidth="1"/>
    <col min="10767" max="10767" width="12.28515625" style="611" bestFit="1" customWidth="1"/>
    <col min="10768" max="10768" width="3.28515625" style="611" customWidth="1"/>
    <col min="10769" max="11009" width="9.140625" style="611"/>
    <col min="11010" max="11010" width="9.85546875" style="611" bestFit="1" customWidth="1"/>
    <col min="11011" max="11011" width="80.7109375" style="611" customWidth="1"/>
    <col min="11012" max="11012" width="6.28515625" style="611" bestFit="1" customWidth="1"/>
    <col min="11013" max="11013" width="13.7109375" style="611" customWidth="1"/>
    <col min="11014" max="11014" width="16.7109375" style="611" customWidth="1"/>
    <col min="11015" max="11015" width="19.42578125" style="611" customWidth="1"/>
    <col min="11016" max="11016" width="17" style="611" customWidth="1"/>
    <col min="11017" max="11017" width="13.7109375" style="611" customWidth="1"/>
    <col min="11018" max="11018" width="15.7109375" style="611" bestFit="1" customWidth="1"/>
    <col min="11019" max="11019" width="12.140625" style="611" bestFit="1" customWidth="1"/>
    <col min="11020" max="11020" width="17.140625" style="611" customWidth="1"/>
    <col min="11021" max="11021" width="16" style="611" bestFit="1" customWidth="1"/>
    <col min="11022" max="11022" width="13.7109375" style="611" customWidth="1"/>
    <col min="11023" max="11023" width="12.28515625" style="611" bestFit="1" customWidth="1"/>
    <col min="11024" max="11024" width="3.28515625" style="611" customWidth="1"/>
    <col min="11025" max="11265" width="9.140625" style="611"/>
    <col min="11266" max="11266" width="9.85546875" style="611" bestFit="1" customWidth="1"/>
    <col min="11267" max="11267" width="80.7109375" style="611" customWidth="1"/>
    <col min="11268" max="11268" width="6.28515625" style="611" bestFit="1" customWidth="1"/>
    <col min="11269" max="11269" width="13.7109375" style="611" customWidth="1"/>
    <col min="11270" max="11270" width="16.7109375" style="611" customWidth="1"/>
    <col min="11271" max="11271" width="19.42578125" style="611" customWidth="1"/>
    <col min="11272" max="11272" width="17" style="611" customWidth="1"/>
    <col min="11273" max="11273" width="13.7109375" style="611" customWidth="1"/>
    <col min="11274" max="11274" width="15.7109375" style="611" bestFit="1" customWidth="1"/>
    <col min="11275" max="11275" width="12.140625" style="611" bestFit="1" customWidth="1"/>
    <col min="11276" max="11276" width="17.140625" style="611" customWidth="1"/>
    <col min="11277" max="11277" width="16" style="611" bestFit="1" customWidth="1"/>
    <col min="11278" max="11278" width="13.7109375" style="611" customWidth="1"/>
    <col min="11279" max="11279" width="12.28515625" style="611" bestFit="1" customWidth="1"/>
    <col min="11280" max="11280" width="3.28515625" style="611" customWidth="1"/>
    <col min="11281" max="11521" width="9.140625" style="611"/>
    <col min="11522" max="11522" width="9.85546875" style="611" bestFit="1" customWidth="1"/>
    <col min="11523" max="11523" width="80.7109375" style="611" customWidth="1"/>
    <col min="11524" max="11524" width="6.28515625" style="611" bestFit="1" customWidth="1"/>
    <col min="11525" max="11525" width="13.7109375" style="611" customWidth="1"/>
    <col min="11526" max="11526" width="16.7109375" style="611" customWidth="1"/>
    <col min="11527" max="11527" width="19.42578125" style="611" customWidth="1"/>
    <col min="11528" max="11528" width="17" style="611" customWidth="1"/>
    <col min="11529" max="11529" width="13.7109375" style="611" customWidth="1"/>
    <col min="11530" max="11530" width="15.7109375" style="611" bestFit="1" customWidth="1"/>
    <col min="11531" max="11531" width="12.140625" style="611" bestFit="1" customWidth="1"/>
    <col min="11532" max="11532" width="17.140625" style="611" customWidth="1"/>
    <col min="11533" max="11533" width="16" style="611" bestFit="1" customWidth="1"/>
    <col min="11534" max="11534" width="13.7109375" style="611" customWidth="1"/>
    <col min="11535" max="11535" width="12.28515625" style="611" bestFit="1" customWidth="1"/>
    <col min="11536" max="11536" width="3.28515625" style="611" customWidth="1"/>
    <col min="11537" max="11777" width="9.140625" style="611"/>
    <col min="11778" max="11778" width="9.85546875" style="611" bestFit="1" customWidth="1"/>
    <col min="11779" max="11779" width="80.7109375" style="611" customWidth="1"/>
    <col min="11780" max="11780" width="6.28515625" style="611" bestFit="1" customWidth="1"/>
    <col min="11781" max="11781" width="13.7109375" style="611" customWidth="1"/>
    <col min="11782" max="11782" width="16.7109375" style="611" customWidth="1"/>
    <col min="11783" max="11783" width="19.42578125" style="611" customWidth="1"/>
    <col min="11784" max="11784" width="17" style="611" customWidth="1"/>
    <col min="11785" max="11785" width="13.7109375" style="611" customWidth="1"/>
    <col min="11786" max="11786" width="15.7109375" style="611" bestFit="1" customWidth="1"/>
    <col min="11787" max="11787" width="12.140625" style="611" bestFit="1" customWidth="1"/>
    <col min="11788" max="11788" width="17.140625" style="611" customWidth="1"/>
    <col min="11789" max="11789" width="16" style="611" bestFit="1" customWidth="1"/>
    <col min="11790" max="11790" width="13.7109375" style="611" customWidth="1"/>
    <col min="11791" max="11791" width="12.28515625" style="611" bestFit="1" customWidth="1"/>
    <col min="11792" max="11792" width="3.28515625" style="611" customWidth="1"/>
    <col min="11793" max="12033" width="9.140625" style="611"/>
    <col min="12034" max="12034" width="9.85546875" style="611" bestFit="1" customWidth="1"/>
    <col min="12035" max="12035" width="80.7109375" style="611" customWidth="1"/>
    <col min="12036" max="12036" width="6.28515625" style="611" bestFit="1" customWidth="1"/>
    <col min="12037" max="12037" width="13.7109375" style="611" customWidth="1"/>
    <col min="12038" max="12038" width="16.7109375" style="611" customWidth="1"/>
    <col min="12039" max="12039" width="19.42578125" style="611" customWidth="1"/>
    <col min="12040" max="12040" width="17" style="611" customWidth="1"/>
    <col min="12041" max="12041" width="13.7109375" style="611" customWidth="1"/>
    <col min="12042" max="12042" width="15.7109375" style="611" bestFit="1" customWidth="1"/>
    <col min="12043" max="12043" width="12.140625" style="611" bestFit="1" customWidth="1"/>
    <col min="12044" max="12044" width="17.140625" style="611" customWidth="1"/>
    <col min="12045" max="12045" width="16" style="611" bestFit="1" customWidth="1"/>
    <col min="12046" max="12046" width="13.7109375" style="611" customWidth="1"/>
    <col min="12047" max="12047" width="12.28515625" style="611" bestFit="1" customWidth="1"/>
    <col min="12048" max="12048" width="3.28515625" style="611" customWidth="1"/>
    <col min="12049" max="12289" width="9.140625" style="611"/>
    <col min="12290" max="12290" width="9.85546875" style="611" bestFit="1" customWidth="1"/>
    <col min="12291" max="12291" width="80.7109375" style="611" customWidth="1"/>
    <col min="12292" max="12292" width="6.28515625" style="611" bestFit="1" customWidth="1"/>
    <col min="12293" max="12293" width="13.7109375" style="611" customWidth="1"/>
    <col min="12294" max="12294" width="16.7109375" style="611" customWidth="1"/>
    <col min="12295" max="12295" width="19.42578125" style="611" customWidth="1"/>
    <col min="12296" max="12296" width="17" style="611" customWidth="1"/>
    <col min="12297" max="12297" width="13.7109375" style="611" customWidth="1"/>
    <col min="12298" max="12298" width="15.7109375" style="611" bestFit="1" customWidth="1"/>
    <col min="12299" max="12299" width="12.140625" style="611" bestFit="1" customWidth="1"/>
    <col min="12300" max="12300" width="17.140625" style="611" customWidth="1"/>
    <col min="12301" max="12301" width="16" style="611" bestFit="1" customWidth="1"/>
    <col min="12302" max="12302" width="13.7109375" style="611" customWidth="1"/>
    <col min="12303" max="12303" width="12.28515625" style="611" bestFit="1" customWidth="1"/>
    <col min="12304" max="12304" width="3.28515625" style="611" customWidth="1"/>
    <col min="12305" max="12545" width="9.140625" style="611"/>
    <col min="12546" max="12546" width="9.85546875" style="611" bestFit="1" customWidth="1"/>
    <col min="12547" max="12547" width="80.7109375" style="611" customWidth="1"/>
    <col min="12548" max="12548" width="6.28515625" style="611" bestFit="1" customWidth="1"/>
    <col min="12549" max="12549" width="13.7109375" style="611" customWidth="1"/>
    <col min="12550" max="12550" width="16.7109375" style="611" customWidth="1"/>
    <col min="12551" max="12551" width="19.42578125" style="611" customWidth="1"/>
    <col min="12552" max="12552" width="17" style="611" customWidth="1"/>
    <col min="12553" max="12553" width="13.7109375" style="611" customWidth="1"/>
    <col min="12554" max="12554" width="15.7109375" style="611" bestFit="1" customWidth="1"/>
    <col min="12555" max="12555" width="12.140625" style="611" bestFit="1" customWidth="1"/>
    <col min="12556" max="12556" width="17.140625" style="611" customWidth="1"/>
    <col min="12557" max="12557" width="16" style="611" bestFit="1" customWidth="1"/>
    <col min="12558" max="12558" width="13.7109375" style="611" customWidth="1"/>
    <col min="12559" max="12559" width="12.28515625" style="611" bestFit="1" customWidth="1"/>
    <col min="12560" max="12560" width="3.28515625" style="611" customWidth="1"/>
    <col min="12561" max="12801" width="9.140625" style="611"/>
    <col min="12802" max="12802" width="9.85546875" style="611" bestFit="1" customWidth="1"/>
    <col min="12803" max="12803" width="80.7109375" style="611" customWidth="1"/>
    <col min="12804" max="12804" width="6.28515625" style="611" bestFit="1" customWidth="1"/>
    <col min="12805" max="12805" width="13.7109375" style="611" customWidth="1"/>
    <col min="12806" max="12806" width="16.7109375" style="611" customWidth="1"/>
    <col min="12807" max="12807" width="19.42578125" style="611" customWidth="1"/>
    <col min="12808" max="12808" width="17" style="611" customWidth="1"/>
    <col min="12809" max="12809" width="13.7109375" style="611" customWidth="1"/>
    <col min="12810" max="12810" width="15.7109375" style="611" bestFit="1" customWidth="1"/>
    <col min="12811" max="12811" width="12.140625" style="611" bestFit="1" customWidth="1"/>
    <col min="12812" max="12812" width="17.140625" style="611" customWidth="1"/>
    <col min="12813" max="12813" width="16" style="611" bestFit="1" customWidth="1"/>
    <col min="12814" max="12814" width="13.7109375" style="611" customWidth="1"/>
    <col min="12815" max="12815" width="12.28515625" style="611" bestFit="1" customWidth="1"/>
    <col min="12816" max="12816" width="3.28515625" style="611" customWidth="1"/>
    <col min="12817" max="13057" width="9.140625" style="611"/>
    <col min="13058" max="13058" width="9.85546875" style="611" bestFit="1" customWidth="1"/>
    <col min="13059" max="13059" width="80.7109375" style="611" customWidth="1"/>
    <col min="13060" max="13060" width="6.28515625" style="611" bestFit="1" customWidth="1"/>
    <col min="13061" max="13061" width="13.7109375" style="611" customWidth="1"/>
    <col min="13062" max="13062" width="16.7109375" style="611" customWidth="1"/>
    <col min="13063" max="13063" width="19.42578125" style="611" customWidth="1"/>
    <col min="13064" max="13064" width="17" style="611" customWidth="1"/>
    <col min="13065" max="13065" width="13.7109375" style="611" customWidth="1"/>
    <col min="13066" max="13066" width="15.7109375" style="611" bestFit="1" customWidth="1"/>
    <col min="13067" max="13067" width="12.140625" style="611" bestFit="1" customWidth="1"/>
    <col min="13068" max="13068" width="17.140625" style="611" customWidth="1"/>
    <col min="13069" max="13069" width="16" style="611" bestFit="1" customWidth="1"/>
    <col min="13070" max="13070" width="13.7109375" style="611" customWidth="1"/>
    <col min="13071" max="13071" width="12.28515625" style="611" bestFit="1" customWidth="1"/>
    <col min="13072" max="13072" width="3.28515625" style="611" customWidth="1"/>
    <col min="13073" max="13313" width="9.140625" style="611"/>
    <col min="13314" max="13314" width="9.85546875" style="611" bestFit="1" customWidth="1"/>
    <col min="13315" max="13315" width="80.7109375" style="611" customWidth="1"/>
    <col min="13316" max="13316" width="6.28515625" style="611" bestFit="1" customWidth="1"/>
    <col min="13317" max="13317" width="13.7109375" style="611" customWidth="1"/>
    <col min="13318" max="13318" width="16.7109375" style="611" customWidth="1"/>
    <col min="13319" max="13319" width="19.42578125" style="611" customWidth="1"/>
    <col min="13320" max="13320" width="17" style="611" customWidth="1"/>
    <col min="13321" max="13321" width="13.7109375" style="611" customWidth="1"/>
    <col min="13322" max="13322" width="15.7109375" style="611" bestFit="1" customWidth="1"/>
    <col min="13323" max="13323" width="12.140625" style="611" bestFit="1" customWidth="1"/>
    <col min="13324" max="13324" width="17.140625" style="611" customWidth="1"/>
    <col min="13325" max="13325" width="16" style="611" bestFit="1" customWidth="1"/>
    <col min="13326" max="13326" width="13.7109375" style="611" customWidth="1"/>
    <col min="13327" max="13327" width="12.28515625" style="611" bestFit="1" customWidth="1"/>
    <col min="13328" max="13328" width="3.28515625" style="611" customWidth="1"/>
    <col min="13329" max="13569" width="9.140625" style="611"/>
    <col min="13570" max="13570" width="9.85546875" style="611" bestFit="1" customWidth="1"/>
    <col min="13571" max="13571" width="80.7109375" style="611" customWidth="1"/>
    <col min="13572" max="13572" width="6.28515625" style="611" bestFit="1" customWidth="1"/>
    <col min="13573" max="13573" width="13.7109375" style="611" customWidth="1"/>
    <col min="13574" max="13574" width="16.7109375" style="611" customWidth="1"/>
    <col min="13575" max="13575" width="19.42578125" style="611" customWidth="1"/>
    <col min="13576" max="13576" width="17" style="611" customWidth="1"/>
    <col min="13577" max="13577" width="13.7109375" style="611" customWidth="1"/>
    <col min="13578" max="13578" width="15.7109375" style="611" bestFit="1" customWidth="1"/>
    <col min="13579" max="13579" width="12.140625" style="611" bestFit="1" customWidth="1"/>
    <col min="13580" max="13580" width="17.140625" style="611" customWidth="1"/>
    <col min="13581" max="13581" width="16" style="611" bestFit="1" customWidth="1"/>
    <col min="13582" max="13582" width="13.7109375" style="611" customWidth="1"/>
    <col min="13583" max="13583" width="12.28515625" style="611" bestFit="1" customWidth="1"/>
    <col min="13584" max="13584" width="3.28515625" style="611" customWidth="1"/>
    <col min="13585" max="13825" width="9.140625" style="611"/>
    <col min="13826" max="13826" width="9.85546875" style="611" bestFit="1" customWidth="1"/>
    <col min="13827" max="13827" width="80.7109375" style="611" customWidth="1"/>
    <col min="13828" max="13828" width="6.28515625" style="611" bestFit="1" customWidth="1"/>
    <col min="13829" max="13829" width="13.7109375" style="611" customWidth="1"/>
    <col min="13830" max="13830" width="16.7109375" style="611" customWidth="1"/>
    <col min="13831" max="13831" width="19.42578125" style="611" customWidth="1"/>
    <col min="13832" max="13832" width="17" style="611" customWidth="1"/>
    <col min="13833" max="13833" width="13.7109375" style="611" customWidth="1"/>
    <col min="13834" max="13834" width="15.7109375" style="611" bestFit="1" customWidth="1"/>
    <col min="13835" max="13835" width="12.140625" style="611" bestFit="1" customWidth="1"/>
    <col min="13836" max="13836" width="17.140625" style="611" customWidth="1"/>
    <col min="13837" max="13837" width="16" style="611" bestFit="1" customWidth="1"/>
    <col min="13838" max="13838" width="13.7109375" style="611" customWidth="1"/>
    <col min="13839" max="13839" width="12.28515625" style="611" bestFit="1" customWidth="1"/>
    <col min="13840" max="13840" width="3.28515625" style="611" customWidth="1"/>
    <col min="13841" max="14081" width="9.140625" style="611"/>
    <col min="14082" max="14082" width="9.85546875" style="611" bestFit="1" customWidth="1"/>
    <col min="14083" max="14083" width="80.7109375" style="611" customWidth="1"/>
    <col min="14084" max="14084" width="6.28515625" style="611" bestFit="1" customWidth="1"/>
    <col min="14085" max="14085" width="13.7109375" style="611" customWidth="1"/>
    <col min="14086" max="14086" width="16.7109375" style="611" customWidth="1"/>
    <col min="14087" max="14087" width="19.42578125" style="611" customWidth="1"/>
    <col min="14088" max="14088" width="17" style="611" customWidth="1"/>
    <col min="14089" max="14089" width="13.7109375" style="611" customWidth="1"/>
    <col min="14090" max="14090" width="15.7109375" style="611" bestFit="1" customWidth="1"/>
    <col min="14091" max="14091" width="12.140625" style="611" bestFit="1" customWidth="1"/>
    <col min="14092" max="14092" width="17.140625" style="611" customWidth="1"/>
    <col min="14093" max="14093" width="16" style="611" bestFit="1" customWidth="1"/>
    <col min="14094" max="14094" width="13.7109375" style="611" customWidth="1"/>
    <col min="14095" max="14095" width="12.28515625" style="611" bestFit="1" customWidth="1"/>
    <col min="14096" max="14096" width="3.28515625" style="611" customWidth="1"/>
    <col min="14097" max="14337" width="9.140625" style="611"/>
    <col min="14338" max="14338" width="9.85546875" style="611" bestFit="1" customWidth="1"/>
    <col min="14339" max="14339" width="80.7109375" style="611" customWidth="1"/>
    <col min="14340" max="14340" width="6.28515625" style="611" bestFit="1" customWidth="1"/>
    <col min="14341" max="14341" width="13.7109375" style="611" customWidth="1"/>
    <col min="14342" max="14342" width="16.7109375" style="611" customWidth="1"/>
    <col min="14343" max="14343" width="19.42578125" style="611" customWidth="1"/>
    <col min="14344" max="14344" width="17" style="611" customWidth="1"/>
    <col min="14345" max="14345" width="13.7109375" style="611" customWidth="1"/>
    <col min="14346" max="14346" width="15.7109375" style="611" bestFit="1" customWidth="1"/>
    <col min="14347" max="14347" width="12.140625" style="611" bestFit="1" customWidth="1"/>
    <col min="14348" max="14348" width="17.140625" style="611" customWidth="1"/>
    <col min="14349" max="14349" width="16" style="611" bestFit="1" customWidth="1"/>
    <col min="14350" max="14350" width="13.7109375" style="611" customWidth="1"/>
    <col min="14351" max="14351" width="12.28515625" style="611" bestFit="1" customWidth="1"/>
    <col min="14352" max="14352" width="3.28515625" style="611" customWidth="1"/>
    <col min="14353" max="14593" width="9.140625" style="611"/>
    <col min="14594" max="14594" width="9.85546875" style="611" bestFit="1" customWidth="1"/>
    <col min="14595" max="14595" width="80.7109375" style="611" customWidth="1"/>
    <col min="14596" max="14596" width="6.28515625" style="611" bestFit="1" customWidth="1"/>
    <col min="14597" max="14597" width="13.7109375" style="611" customWidth="1"/>
    <col min="14598" max="14598" width="16.7109375" style="611" customWidth="1"/>
    <col min="14599" max="14599" width="19.42578125" style="611" customWidth="1"/>
    <col min="14600" max="14600" width="17" style="611" customWidth="1"/>
    <col min="14601" max="14601" width="13.7109375" style="611" customWidth="1"/>
    <col min="14602" max="14602" width="15.7109375" style="611" bestFit="1" customWidth="1"/>
    <col min="14603" max="14603" width="12.140625" style="611" bestFit="1" customWidth="1"/>
    <col min="14604" max="14604" width="17.140625" style="611" customWidth="1"/>
    <col min="14605" max="14605" width="16" style="611" bestFit="1" customWidth="1"/>
    <col min="14606" max="14606" width="13.7109375" style="611" customWidth="1"/>
    <col min="14607" max="14607" width="12.28515625" style="611" bestFit="1" customWidth="1"/>
    <col min="14608" max="14608" width="3.28515625" style="611" customWidth="1"/>
    <col min="14609" max="14849" width="9.140625" style="611"/>
    <col min="14850" max="14850" width="9.85546875" style="611" bestFit="1" customWidth="1"/>
    <col min="14851" max="14851" width="80.7109375" style="611" customWidth="1"/>
    <col min="14852" max="14852" width="6.28515625" style="611" bestFit="1" customWidth="1"/>
    <col min="14853" max="14853" width="13.7109375" style="611" customWidth="1"/>
    <col min="14854" max="14854" width="16.7109375" style="611" customWidth="1"/>
    <col min="14855" max="14855" width="19.42578125" style="611" customWidth="1"/>
    <col min="14856" max="14856" width="17" style="611" customWidth="1"/>
    <col min="14857" max="14857" width="13.7109375" style="611" customWidth="1"/>
    <col min="14858" max="14858" width="15.7109375" style="611" bestFit="1" customWidth="1"/>
    <col min="14859" max="14859" width="12.140625" style="611" bestFit="1" customWidth="1"/>
    <col min="14860" max="14860" width="17.140625" style="611" customWidth="1"/>
    <col min="14861" max="14861" width="16" style="611" bestFit="1" customWidth="1"/>
    <col min="14862" max="14862" width="13.7109375" style="611" customWidth="1"/>
    <col min="14863" max="14863" width="12.28515625" style="611" bestFit="1" customWidth="1"/>
    <col min="14864" max="14864" width="3.28515625" style="611" customWidth="1"/>
    <col min="14865" max="15105" width="9.140625" style="611"/>
    <col min="15106" max="15106" width="9.85546875" style="611" bestFit="1" customWidth="1"/>
    <col min="15107" max="15107" width="80.7109375" style="611" customWidth="1"/>
    <col min="15108" max="15108" width="6.28515625" style="611" bestFit="1" customWidth="1"/>
    <col min="15109" max="15109" width="13.7109375" style="611" customWidth="1"/>
    <col min="15110" max="15110" width="16.7109375" style="611" customWidth="1"/>
    <col min="15111" max="15111" width="19.42578125" style="611" customWidth="1"/>
    <col min="15112" max="15112" width="17" style="611" customWidth="1"/>
    <col min="15113" max="15113" width="13.7109375" style="611" customWidth="1"/>
    <col min="15114" max="15114" width="15.7109375" style="611" bestFit="1" customWidth="1"/>
    <col min="15115" max="15115" width="12.140625" style="611" bestFit="1" customWidth="1"/>
    <col min="15116" max="15116" width="17.140625" style="611" customWidth="1"/>
    <col min="15117" max="15117" width="16" style="611" bestFit="1" customWidth="1"/>
    <col min="15118" max="15118" width="13.7109375" style="611" customWidth="1"/>
    <col min="15119" max="15119" width="12.28515625" style="611" bestFit="1" customWidth="1"/>
    <col min="15120" max="15120" width="3.28515625" style="611" customWidth="1"/>
    <col min="15121" max="15361" width="9.140625" style="611"/>
    <col min="15362" max="15362" width="9.85546875" style="611" bestFit="1" customWidth="1"/>
    <col min="15363" max="15363" width="80.7109375" style="611" customWidth="1"/>
    <col min="15364" max="15364" width="6.28515625" style="611" bestFit="1" customWidth="1"/>
    <col min="15365" max="15365" width="13.7109375" style="611" customWidth="1"/>
    <col min="15366" max="15366" width="16.7109375" style="611" customWidth="1"/>
    <col min="15367" max="15367" width="19.42578125" style="611" customWidth="1"/>
    <col min="15368" max="15368" width="17" style="611" customWidth="1"/>
    <col min="15369" max="15369" width="13.7109375" style="611" customWidth="1"/>
    <col min="15370" max="15370" width="15.7109375" style="611" bestFit="1" customWidth="1"/>
    <col min="15371" max="15371" width="12.140625" style="611" bestFit="1" customWidth="1"/>
    <col min="15372" max="15372" width="17.140625" style="611" customWidth="1"/>
    <col min="15373" max="15373" width="16" style="611" bestFit="1" customWidth="1"/>
    <col min="15374" max="15374" width="13.7109375" style="611" customWidth="1"/>
    <col min="15375" max="15375" width="12.28515625" style="611" bestFit="1" customWidth="1"/>
    <col min="15376" max="15376" width="3.28515625" style="611" customWidth="1"/>
    <col min="15377" max="15617" width="9.140625" style="611"/>
    <col min="15618" max="15618" width="9.85546875" style="611" bestFit="1" customWidth="1"/>
    <col min="15619" max="15619" width="80.7109375" style="611" customWidth="1"/>
    <col min="15620" max="15620" width="6.28515625" style="611" bestFit="1" customWidth="1"/>
    <col min="15621" max="15621" width="13.7109375" style="611" customWidth="1"/>
    <col min="15622" max="15622" width="16.7109375" style="611" customWidth="1"/>
    <col min="15623" max="15623" width="19.42578125" style="611" customWidth="1"/>
    <col min="15624" max="15624" width="17" style="611" customWidth="1"/>
    <col min="15625" max="15625" width="13.7109375" style="611" customWidth="1"/>
    <col min="15626" max="15626" width="15.7109375" style="611" bestFit="1" customWidth="1"/>
    <col min="15627" max="15627" width="12.140625" style="611" bestFit="1" customWidth="1"/>
    <col min="15628" max="15628" width="17.140625" style="611" customWidth="1"/>
    <col min="15629" max="15629" width="16" style="611" bestFit="1" customWidth="1"/>
    <col min="15630" max="15630" width="13.7109375" style="611" customWidth="1"/>
    <col min="15631" max="15631" width="12.28515625" style="611" bestFit="1" customWidth="1"/>
    <col min="15632" max="15632" width="3.28515625" style="611" customWidth="1"/>
    <col min="15633" max="15873" width="9.140625" style="611"/>
    <col min="15874" max="15874" width="9.85546875" style="611" bestFit="1" customWidth="1"/>
    <col min="15875" max="15875" width="80.7109375" style="611" customWidth="1"/>
    <col min="15876" max="15876" width="6.28515625" style="611" bestFit="1" customWidth="1"/>
    <col min="15877" max="15877" width="13.7109375" style="611" customWidth="1"/>
    <col min="15878" max="15878" width="16.7109375" style="611" customWidth="1"/>
    <col min="15879" max="15879" width="19.42578125" style="611" customWidth="1"/>
    <col min="15880" max="15880" width="17" style="611" customWidth="1"/>
    <col min="15881" max="15881" width="13.7109375" style="611" customWidth="1"/>
    <col min="15882" max="15882" width="15.7109375" style="611" bestFit="1" customWidth="1"/>
    <col min="15883" max="15883" width="12.140625" style="611" bestFit="1" customWidth="1"/>
    <col min="15884" max="15884" width="17.140625" style="611" customWidth="1"/>
    <col min="15885" max="15885" width="16" style="611" bestFit="1" customWidth="1"/>
    <col min="15886" max="15886" width="13.7109375" style="611" customWidth="1"/>
    <col min="15887" max="15887" width="12.28515625" style="611" bestFit="1" customWidth="1"/>
    <col min="15888" max="15888" width="3.28515625" style="611" customWidth="1"/>
    <col min="15889" max="16129" width="9.140625" style="611"/>
    <col min="16130" max="16130" width="9.85546875" style="611" bestFit="1" customWidth="1"/>
    <col min="16131" max="16131" width="80.7109375" style="611" customWidth="1"/>
    <col min="16132" max="16132" width="6.28515625" style="611" bestFit="1" customWidth="1"/>
    <col min="16133" max="16133" width="13.7109375" style="611" customWidth="1"/>
    <col min="16134" max="16134" width="16.7109375" style="611" customWidth="1"/>
    <col min="16135" max="16135" width="19.42578125" style="611" customWidth="1"/>
    <col min="16136" max="16136" width="17" style="611" customWidth="1"/>
    <col min="16137" max="16137" width="13.7109375" style="611" customWidth="1"/>
    <col min="16138" max="16138" width="15.7109375" style="611" bestFit="1" customWidth="1"/>
    <col min="16139" max="16139" width="12.140625" style="611" bestFit="1" customWidth="1"/>
    <col min="16140" max="16140" width="17.140625" style="611" customWidth="1"/>
    <col min="16141" max="16141" width="16" style="611" bestFit="1" customWidth="1"/>
    <col min="16142" max="16142" width="13.7109375" style="611" customWidth="1"/>
    <col min="16143" max="16143" width="12.28515625" style="611" bestFit="1" customWidth="1"/>
    <col min="16144" max="16144" width="3.28515625" style="611" customWidth="1"/>
    <col min="16145" max="16384" width="9.140625" style="611"/>
  </cols>
  <sheetData>
    <row r="1" spans="2:15" ht="12.75" customHeight="1">
      <c r="B1" s="602" t="s">
        <v>76</v>
      </c>
      <c r="C1" s="602"/>
      <c r="D1" s="602"/>
      <c r="E1" s="602"/>
      <c r="F1" s="602"/>
      <c r="G1" s="602"/>
      <c r="H1" s="602"/>
      <c r="I1" s="602"/>
      <c r="J1" s="602"/>
      <c r="K1" s="602"/>
      <c r="L1" s="602"/>
      <c r="M1" s="602"/>
      <c r="N1" s="602"/>
    </row>
    <row r="2" spans="2:15" ht="13.5" customHeight="1">
      <c r="B2" s="602" t="s">
        <v>302</v>
      </c>
      <c r="C2" s="602"/>
      <c r="D2" s="602"/>
      <c r="E2" s="602"/>
      <c r="F2" s="602"/>
      <c r="G2" s="602"/>
      <c r="H2" s="602"/>
      <c r="I2" s="602"/>
      <c r="J2" s="602"/>
      <c r="K2" s="602"/>
      <c r="L2" s="602"/>
      <c r="M2" s="602"/>
      <c r="N2" s="602"/>
    </row>
    <row r="3" spans="2:15">
      <c r="B3" s="602" t="s">
        <v>303</v>
      </c>
      <c r="C3" s="602"/>
      <c r="D3" s="602"/>
      <c r="E3" s="602"/>
      <c r="F3" s="602"/>
      <c r="G3" s="602"/>
      <c r="H3" s="602"/>
      <c r="I3" s="602"/>
      <c r="J3" s="602"/>
      <c r="K3" s="602"/>
      <c r="L3" s="602"/>
      <c r="M3" s="602"/>
      <c r="N3" s="602"/>
    </row>
    <row r="4" spans="2:15">
      <c r="B4" s="86"/>
      <c r="C4" s="87"/>
      <c r="D4" s="88"/>
      <c r="E4" s="87"/>
      <c r="F4" s="87"/>
      <c r="G4" s="88"/>
      <c r="H4" s="88"/>
      <c r="I4" s="88"/>
      <c r="J4" s="88"/>
    </row>
    <row r="5" spans="2:15" ht="12.75" thickBot="1"/>
    <row r="6" spans="2:15" ht="66" customHeight="1">
      <c r="B6" s="218" t="s">
        <v>304</v>
      </c>
      <c r="C6" s="219"/>
      <c r="D6" s="182"/>
      <c r="E6" s="220" t="s">
        <v>111</v>
      </c>
      <c r="F6" s="220" t="s">
        <v>112</v>
      </c>
      <c r="G6" s="220" t="s">
        <v>113</v>
      </c>
      <c r="H6" s="220" t="s">
        <v>114</v>
      </c>
      <c r="I6" s="91" t="s">
        <v>257</v>
      </c>
      <c r="J6" s="220" t="s">
        <v>115</v>
      </c>
      <c r="K6" s="220" t="s">
        <v>116</v>
      </c>
      <c r="L6" s="220" t="s">
        <v>117</v>
      </c>
      <c r="M6" s="220" t="s">
        <v>50</v>
      </c>
      <c r="N6" s="92" t="s">
        <v>118</v>
      </c>
    </row>
    <row r="7" spans="2:15">
      <c r="B7" s="221" t="s">
        <v>119</v>
      </c>
      <c r="C7" s="222"/>
      <c r="D7" s="185"/>
      <c r="E7" s="613">
        <v>711</v>
      </c>
      <c r="F7" s="613">
        <v>279</v>
      </c>
      <c r="G7" s="613">
        <v>50</v>
      </c>
      <c r="H7" s="613">
        <v>36</v>
      </c>
      <c r="I7" s="613">
        <v>43</v>
      </c>
      <c r="J7" s="613">
        <v>200</v>
      </c>
      <c r="K7" s="613">
        <v>142</v>
      </c>
      <c r="L7" s="613">
        <v>94</v>
      </c>
      <c r="M7" s="613">
        <v>61</v>
      </c>
      <c r="N7" s="614">
        <v>905</v>
      </c>
    </row>
    <row r="8" spans="2:15" ht="24">
      <c r="B8" s="98"/>
      <c r="C8" s="99" t="s">
        <v>54</v>
      </c>
      <c r="D8" s="122" t="s">
        <v>121</v>
      </c>
      <c r="E8" s="615">
        <v>12</v>
      </c>
      <c r="F8" s="615">
        <v>0</v>
      </c>
      <c r="G8" s="615">
        <v>0</v>
      </c>
      <c r="H8" s="615">
        <v>0</v>
      </c>
      <c r="I8" s="615">
        <v>0</v>
      </c>
      <c r="J8" s="615">
        <v>0</v>
      </c>
      <c r="K8" s="615">
        <v>0</v>
      </c>
      <c r="L8" s="615">
        <v>0</v>
      </c>
      <c r="M8" s="615">
        <v>0</v>
      </c>
      <c r="N8" s="616">
        <v>0</v>
      </c>
    </row>
    <row r="9" spans="2:15" ht="24">
      <c r="B9" s="98"/>
      <c r="C9" s="99" t="s">
        <v>149</v>
      </c>
      <c r="D9" s="122" t="s">
        <v>122</v>
      </c>
      <c r="E9" s="615">
        <v>0</v>
      </c>
      <c r="F9" s="615">
        <v>0</v>
      </c>
      <c r="G9" s="615">
        <v>0</v>
      </c>
      <c r="H9" s="615">
        <v>0</v>
      </c>
      <c r="I9" s="615">
        <v>0</v>
      </c>
      <c r="J9" s="615">
        <v>-7</v>
      </c>
      <c r="K9" s="615">
        <v>-4</v>
      </c>
      <c r="L9" s="615">
        <v>-15</v>
      </c>
      <c r="M9" s="615">
        <v>0</v>
      </c>
      <c r="N9" s="616">
        <v>-26</v>
      </c>
      <c r="O9" s="617"/>
    </row>
    <row r="10" spans="2:15">
      <c r="B10" s="98"/>
      <c r="C10" s="99" t="s">
        <v>141</v>
      </c>
      <c r="D10" s="122" t="s">
        <v>142</v>
      </c>
      <c r="E10" s="615">
        <v>-6</v>
      </c>
      <c r="F10" s="615">
        <v>-1</v>
      </c>
      <c r="G10" s="615">
        <v>-1</v>
      </c>
      <c r="H10" s="615">
        <v>0</v>
      </c>
      <c r="I10" s="615">
        <v>0</v>
      </c>
      <c r="J10" s="615">
        <v>-91</v>
      </c>
      <c r="K10" s="615">
        <v>-12</v>
      </c>
      <c r="L10" s="615">
        <v>-11</v>
      </c>
      <c r="M10" s="615">
        <v>0</v>
      </c>
      <c r="N10" s="616">
        <v>-116</v>
      </c>
      <c r="O10" s="617"/>
    </row>
    <row r="11" spans="2:15" ht="24">
      <c r="B11" s="98"/>
      <c r="C11" s="99" t="s">
        <v>305</v>
      </c>
      <c r="D11" s="228" t="s">
        <v>131</v>
      </c>
      <c r="E11" s="615">
        <v>0</v>
      </c>
      <c r="F11" s="615">
        <v>0</v>
      </c>
      <c r="G11" s="615">
        <v>0</v>
      </c>
      <c r="H11" s="615">
        <v>0</v>
      </c>
      <c r="I11" s="615">
        <v>0</v>
      </c>
      <c r="J11" s="615">
        <v>0</v>
      </c>
      <c r="K11" s="615">
        <v>0</v>
      </c>
      <c r="L11" s="615">
        <v>-17</v>
      </c>
      <c r="M11" s="615">
        <v>-61</v>
      </c>
      <c r="N11" s="616">
        <v>-78</v>
      </c>
      <c r="O11" s="617"/>
    </row>
    <row r="12" spans="2:15" ht="24">
      <c r="B12" s="98"/>
      <c r="C12" s="229" t="s">
        <v>143</v>
      </c>
      <c r="D12" s="228" t="s">
        <v>124</v>
      </c>
      <c r="E12" s="615">
        <v>0</v>
      </c>
      <c r="F12" s="615">
        <v>-8</v>
      </c>
      <c r="G12" s="615">
        <v>-24</v>
      </c>
      <c r="H12" s="615">
        <v>-22</v>
      </c>
      <c r="I12" s="615">
        <v>0</v>
      </c>
      <c r="J12" s="615">
        <v>0</v>
      </c>
      <c r="K12" s="615">
        <v>-35</v>
      </c>
      <c r="L12" s="615">
        <v>-1</v>
      </c>
      <c r="M12" s="615">
        <v>0</v>
      </c>
      <c r="N12" s="616">
        <v>-90</v>
      </c>
    </row>
    <row r="13" spans="2:15" ht="12.75" thickBot="1">
      <c r="B13" s="618" t="s">
        <v>125</v>
      </c>
      <c r="C13" s="619"/>
      <c r="D13" s="620"/>
      <c r="E13" s="621">
        <v>717</v>
      </c>
      <c r="F13" s="621">
        <v>270</v>
      </c>
      <c r="G13" s="621">
        <v>25</v>
      </c>
      <c r="H13" s="621">
        <v>14</v>
      </c>
      <c r="I13" s="621">
        <v>43</v>
      </c>
      <c r="J13" s="621">
        <v>102</v>
      </c>
      <c r="K13" s="621">
        <v>91</v>
      </c>
      <c r="L13" s="621">
        <v>50</v>
      </c>
      <c r="M13" s="621">
        <v>0</v>
      </c>
      <c r="N13" s="622">
        <v>595</v>
      </c>
    </row>
    <row r="14" spans="2:15" ht="4.5" customHeight="1" thickTop="1" thickBot="1">
      <c r="B14" s="623"/>
      <c r="C14" s="624"/>
      <c r="D14" s="625"/>
      <c r="E14" s="624"/>
      <c r="F14" s="624"/>
      <c r="G14" s="624"/>
      <c r="H14" s="624"/>
      <c r="I14" s="624"/>
      <c r="J14" s="624"/>
      <c r="K14" s="624"/>
      <c r="L14" s="624"/>
      <c r="M14" s="624"/>
      <c r="N14" s="626"/>
    </row>
    <row r="15" spans="2:15" ht="12.75" thickBot="1">
      <c r="B15" s="627"/>
      <c r="C15" s="628"/>
      <c r="D15" s="629"/>
      <c r="E15" s="628"/>
      <c r="F15" s="628"/>
      <c r="G15" s="628"/>
      <c r="H15" s="628"/>
      <c r="I15" s="628"/>
      <c r="J15" s="628"/>
      <c r="K15" s="628"/>
      <c r="L15" s="628"/>
      <c r="M15" s="628"/>
      <c r="N15" s="628"/>
    </row>
    <row r="16" spans="2:15" ht="57.75" customHeight="1">
      <c r="B16" s="242" t="s">
        <v>304</v>
      </c>
      <c r="C16" s="243"/>
      <c r="D16" s="116"/>
      <c r="E16" s="244" t="s">
        <v>126</v>
      </c>
      <c r="F16" s="244" t="s">
        <v>127</v>
      </c>
      <c r="G16" s="244" t="s">
        <v>128</v>
      </c>
      <c r="H16" s="118" t="s">
        <v>129</v>
      </c>
      <c r="I16" s="119"/>
      <c r="J16" s="245"/>
      <c r="K16" s="630"/>
      <c r="L16" s="627"/>
      <c r="M16" s="627"/>
      <c r="N16" s="627"/>
    </row>
    <row r="17" spans="2:15">
      <c r="B17" s="98" t="s">
        <v>119</v>
      </c>
      <c r="C17" s="225"/>
      <c r="D17" s="122"/>
      <c r="E17" s="631">
        <v>-194</v>
      </c>
      <c r="F17" s="613">
        <v>-108</v>
      </c>
      <c r="G17" s="632">
        <v>-8.4972462627852088E-2</v>
      </c>
      <c r="H17" s="633">
        <v>-8.4972462627852088E-2</v>
      </c>
      <c r="I17" s="634"/>
      <c r="J17" s="628"/>
      <c r="K17" s="628"/>
      <c r="L17" s="628"/>
      <c r="M17" s="628"/>
      <c r="N17" s="635"/>
    </row>
    <row r="18" spans="2:15" ht="24">
      <c r="B18" s="98"/>
      <c r="C18" s="99" t="s">
        <v>54</v>
      </c>
      <c r="D18" s="122" t="s">
        <v>121</v>
      </c>
      <c r="E18" s="636">
        <v>12</v>
      </c>
      <c r="F18" s="615">
        <v>7</v>
      </c>
      <c r="G18" s="637">
        <v>5.4678736564691896E-3</v>
      </c>
      <c r="H18" s="638">
        <v>5.4678736564691896E-3</v>
      </c>
      <c r="I18" s="634"/>
      <c r="J18" s="628"/>
      <c r="K18" s="628"/>
      <c r="L18" s="628"/>
      <c r="M18" s="628"/>
      <c r="N18" s="639"/>
    </row>
    <row r="19" spans="2:15" ht="24">
      <c r="B19" s="98"/>
      <c r="C19" s="99" t="s">
        <v>149</v>
      </c>
      <c r="D19" s="122" t="s">
        <v>122</v>
      </c>
      <c r="E19" s="636">
        <v>26</v>
      </c>
      <c r="F19" s="615">
        <v>16</v>
      </c>
      <c r="G19" s="637">
        <v>1.2497996929072434E-2</v>
      </c>
      <c r="H19" s="638">
        <v>1.2497996929072434E-2</v>
      </c>
      <c r="I19" s="640"/>
      <c r="J19" s="628"/>
      <c r="K19" s="628"/>
      <c r="L19" s="628"/>
      <c r="M19" s="628"/>
      <c r="N19" s="639"/>
      <c r="O19" s="617"/>
    </row>
    <row r="20" spans="2:15">
      <c r="B20" s="98"/>
      <c r="C20" s="99" t="s">
        <v>141</v>
      </c>
      <c r="D20" s="122" t="s">
        <v>142</v>
      </c>
      <c r="E20" s="636">
        <v>110</v>
      </c>
      <c r="F20" s="615">
        <v>67</v>
      </c>
      <c r="G20" s="637">
        <v>5.2335362140490817E-2</v>
      </c>
      <c r="H20" s="638">
        <v>5.2335362140490817E-2</v>
      </c>
      <c r="I20" s="641"/>
      <c r="J20" s="628"/>
      <c r="K20" s="628"/>
      <c r="L20" s="628"/>
      <c r="M20" s="628"/>
      <c r="N20" s="639"/>
      <c r="O20" s="617"/>
    </row>
    <row r="21" spans="2:15" ht="24">
      <c r="B21" s="98"/>
      <c r="C21" s="99" t="s">
        <v>305</v>
      </c>
      <c r="D21" s="228" t="s">
        <v>131</v>
      </c>
      <c r="E21" s="636">
        <v>78</v>
      </c>
      <c r="F21" s="615">
        <v>56</v>
      </c>
      <c r="G21" s="637">
        <v>4.3742989251753517E-2</v>
      </c>
      <c r="H21" s="638">
        <v>4.3742989251753517E-2</v>
      </c>
      <c r="I21" s="641"/>
      <c r="J21" s="628"/>
      <c r="K21" s="628"/>
      <c r="L21" s="628"/>
      <c r="M21" s="628"/>
      <c r="N21" s="639"/>
      <c r="O21" s="617"/>
    </row>
    <row r="22" spans="2:15" ht="24">
      <c r="B22" s="98"/>
      <c r="C22" s="229" t="s">
        <v>143</v>
      </c>
      <c r="D22" s="228" t="s">
        <v>124</v>
      </c>
      <c r="E22" s="636">
        <v>90</v>
      </c>
      <c r="F22" s="636">
        <v>54</v>
      </c>
      <c r="G22" s="637">
        <v>4.2180739635619462E-2</v>
      </c>
      <c r="H22" s="638">
        <v>4.2180739635619462E-2</v>
      </c>
      <c r="I22" s="641"/>
      <c r="J22" s="628"/>
      <c r="K22" s="628"/>
      <c r="L22" s="628"/>
      <c r="M22" s="628"/>
      <c r="N22" s="639"/>
      <c r="O22" s="617"/>
    </row>
    <row r="23" spans="2:15" ht="12.75" thickBot="1">
      <c r="B23" s="642" t="s">
        <v>125</v>
      </c>
      <c r="C23" s="627"/>
      <c r="D23" s="643"/>
      <c r="E23" s="621">
        <v>122</v>
      </c>
      <c r="F23" s="621">
        <v>92</v>
      </c>
      <c r="G23" s="644">
        <v>7.1863482342166496E-2</v>
      </c>
      <c r="H23" s="645">
        <v>7.1863482342166496E-2</v>
      </c>
      <c r="J23" s="628"/>
      <c r="K23" s="628"/>
      <c r="L23" s="628"/>
      <c r="M23" s="628"/>
      <c r="N23" s="639"/>
    </row>
    <row r="24" spans="2:15" ht="5.25" customHeight="1" thickTop="1" thickBot="1">
      <c r="B24" s="646"/>
      <c r="C24" s="647"/>
      <c r="D24" s="648"/>
      <c r="E24" s="649"/>
      <c r="F24" s="649"/>
      <c r="G24" s="650"/>
      <c r="H24" s="651"/>
      <c r="I24" s="627"/>
      <c r="J24" s="628"/>
      <c r="K24" s="628"/>
      <c r="L24" s="628"/>
      <c r="M24" s="628"/>
      <c r="N24" s="628"/>
    </row>
    <row r="26" spans="2:15" ht="12.75" thickBot="1"/>
    <row r="27" spans="2:15" ht="63.75" customHeight="1">
      <c r="B27" s="218" t="s">
        <v>306</v>
      </c>
      <c r="C27" s="219"/>
      <c r="D27" s="182"/>
      <c r="E27" s="220" t="s">
        <v>111</v>
      </c>
      <c r="F27" s="220" t="s">
        <v>112</v>
      </c>
      <c r="G27" s="220" t="s">
        <v>113</v>
      </c>
      <c r="H27" s="220" t="s">
        <v>114</v>
      </c>
      <c r="I27" s="91" t="s">
        <v>257</v>
      </c>
      <c r="J27" s="220" t="s">
        <v>115</v>
      </c>
      <c r="K27" s="220" t="s">
        <v>116</v>
      </c>
      <c r="L27" s="220" t="s">
        <v>117</v>
      </c>
      <c r="M27" s="220" t="s">
        <v>50</v>
      </c>
      <c r="N27" s="92" t="s">
        <v>118</v>
      </c>
    </row>
    <row r="28" spans="2:15">
      <c r="B28" s="221" t="s">
        <v>119</v>
      </c>
      <c r="C28" s="222"/>
      <c r="D28" s="185"/>
      <c r="E28" s="613">
        <v>1639</v>
      </c>
      <c r="F28" s="613">
        <v>805</v>
      </c>
      <c r="G28" s="613">
        <v>179</v>
      </c>
      <c r="H28" s="613">
        <v>174</v>
      </c>
      <c r="I28" s="613">
        <v>53</v>
      </c>
      <c r="J28" s="613">
        <v>196</v>
      </c>
      <c r="K28" s="613">
        <v>244</v>
      </c>
      <c r="L28" s="613">
        <v>104</v>
      </c>
      <c r="M28" s="613">
        <v>32</v>
      </c>
      <c r="N28" s="614">
        <v>1787</v>
      </c>
    </row>
    <row r="29" spans="2:15" ht="24">
      <c r="B29" s="98"/>
      <c r="C29" s="99" t="s">
        <v>54</v>
      </c>
      <c r="D29" s="122" t="s">
        <v>121</v>
      </c>
      <c r="E29" s="615">
        <v>705</v>
      </c>
      <c r="F29" s="615">
        <v>135</v>
      </c>
      <c r="G29" s="615">
        <v>61</v>
      </c>
      <c r="H29" s="615">
        <v>19</v>
      </c>
      <c r="I29" s="615">
        <v>0</v>
      </c>
      <c r="J29" s="615">
        <v>0</v>
      </c>
      <c r="K29" s="615">
        <v>0</v>
      </c>
      <c r="L29" s="615">
        <v>0</v>
      </c>
      <c r="M29" s="615">
        <v>0</v>
      </c>
      <c r="N29" s="616">
        <v>215</v>
      </c>
    </row>
    <row r="30" spans="2:15" ht="24">
      <c r="B30" s="98"/>
      <c r="C30" s="99" t="s">
        <v>149</v>
      </c>
      <c r="D30" s="122" t="s">
        <v>122</v>
      </c>
      <c r="E30" s="615">
        <v>0</v>
      </c>
      <c r="F30" s="615">
        <v>0</v>
      </c>
      <c r="G30" s="615">
        <v>-4</v>
      </c>
      <c r="H30" s="615">
        <v>0</v>
      </c>
      <c r="I30" s="615">
        <v>0</v>
      </c>
      <c r="J30" s="615">
        <v>-10</v>
      </c>
      <c r="K30" s="615">
        <v>-4</v>
      </c>
      <c r="L30" s="615">
        <v>-25</v>
      </c>
      <c r="M30" s="615">
        <v>0</v>
      </c>
      <c r="N30" s="616">
        <v>-43</v>
      </c>
    </row>
    <row r="31" spans="2:15">
      <c r="B31" s="98"/>
      <c r="C31" s="99" t="s">
        <v>141</v>
      </c>
      <c r="D31" s="122" t="s">
        <v>142</v>
      </c>
      <c r="E31" s="615">
        <v>-1</v>
      </c>
      <c r="F31" s="615">
        <v>0</v>
      </c>
      <c r="G31" s="615">
        <v>0</v>
      </c>
      <c r="H31" s="615">
        <v>0</v>
      </c>
      <c r="I31" s="615">
        <v>0</v>
      </c>
      <c r="J31" s="615">
        <v>-10</v>
      </c>
      <c r="K31" s="615">
        <v>-3</v>
      </c>
      <c r="L31" s="615">
        <v>-3</v>
      </c>
      <c r="M31" s="615">
        <v>0</v>
      </c>
      <c r="N31" s="616">
        <v>-16</v>
      </c>
    </row>
    <row r="32" spans="2:15" ht="24">
      <c r="B32" s="98"/>
      <c r="C32" s="99" t="s">
        <v>59</v>
      </c>
      <c r="D32" s="228" t="s">
        <v>131</v>
      </c>
      <c r="E32" s="615">
        <v>0</v>
      </c>
      <c r="F32" s="615">
        <v>0</v>
      </c>
      <c r="G32" s="615">
        <v>0</v>
      </c>
      <c r="H32" s="615">
        <v>0</v>
      </c>
      <c r="I32" s="615">
        <v>0</v>
      </c>
      <c r="J32" s="615">
        <v>0</v>
      </c>
      <c r="K32" s="615">
        <v>0</v>
      </c>
      <c r="L32" s="615">
        <v>-11</v>
      </c>
      <c r="M32" s="615">
        <v>-32</v>
      </c>
      <c r="N32" s="616">
        <v>-43</v>
      </c>
    </row>
    <row r="33" spans="2:14" ht="24">
      <c r="B33" s="98"/>
      <c r="C33" s="229" t="s">
        <v>143</v>
      </c>
      <c r="D33" s="228" t="s">
        <v>124</v>
      </c>
      <c r="E33" s="615">
        <v>0</v>
      </c>
      <c r="F33" s="615">
        <v>-7</v>
      </c>
      <c r="G33" s="615">
        <v>-71</v>
      </c>
      <c r="H33" s="615">
        <v>-118</v>
      </c>
      <c r="I33" s="615">
        <v>0</v>
      </c>
      <c r="J33" s="615">
        <v>0</v>
      </c>
      <c r="K33" s="615">
        <v>-4</v>
      </c>
      <c r="L33" s="615">
        <v>-1</v>
      </c>
      <c r="M33" s="615">
        <v>0</v>
      </c>
      <c r="N33" s="616">
        <v>-201</v>
      </c>
    </row>
    <row r="34" spans="2:14" ht="12.75" thickBot="1">
      <c r="B34" s="618" t="s">
        <v>125</v>
      </c>
      <c r="C34" s="619"/>
      <c r="D34" s="620"/>
      <c r="E34" s="621">
        <v>2343</v>
      </c>
      <c r="F34" s="621">
        <v>933</v>
      </c>
      <c r="G34" s="621">
        <v>165</v>
      </c>
      <c r="H34" s="621">
        <v>75</v>
      </c>
      <c r="I34" s="621">
        <v>53</v>
      </c>
      <c r="J34" s="621">
        <v>176</v>
      </c>
      <c r="K34" s="621">
        <v>233</v>
      </c>
      <c r="L34" s="621">
        <v>64</v>
      </c>
      <c r="M34" s="621">
        <v>0</v>
      </c>
      <c r="N34" s="622">
        <v>1699</v>
      </c>
    </row>
    <row r="35" spans="2:14" ht="4.5" customHeight="1" thickTop="1" thickBot="1">
      <c r="B35" s="623"/>
      <c r="C35" s="624"/>
      <c r="D35" s="625"/>
      <c r="E35" s="624"/>
      <c r="F35" s="624"/>
      <c r="G35" s="624"/>
      <c r="H35" s="624"/>
      <c r="I35" s="624"/>
      <c r="J35" s="624"/>
      <c r="K35" s="624"/>
      <c r="L35" s="624"/>
      <c r="M35" s="624"/>
      <c r="N35" s="626"/>
    </row>
    <row r="36" spans="2:14" ht="12.75" thickBot="1">
      <c r="B36" s="627"/>
      <c r="C36" s="628"/>
      <c r="D36" s="629"/>
      <c r="E36" s="628"/>
      <c r="F36" s="628"/>
      <c r="G36" s="628"/>
      <c r="H36" s="628"/>
      <c r="I36" s="628"/>
      <c r="J36" s="628"/>
      <c r="K36" s="628"/>
      <c r="L36" s="628"/>
      <c r="M36" s="628"/>
      <c r="N36" s="628"/>
    </row>
    <row r="37" spans="2:14" ht="48">
      <c r="B37" s="242" t="s">
        <v>306</v>
      </c>
      <c r="C37" s="243"/>
      <c r="D37" s="116"/>
      <c r="E37" s="244" t="s">
        <v>126</v>
      </c>
      <c r="F37" s="244" t="s">
        <v>127</v>
      </c>
      <c r="G37" s="244" t="s">
        <v>128</v>
      </c>
      <c r="H37" s="118" t="s">
        <v>129</v>
      </c>
      <c r="I37" s="119"/>
      <c r="J37" s="245"/>
      <c r="K37" s="630"/>
      <c r="L37" s="627"/>
      <c r="M37" s="627"/>
      <c r="N37" s="627"/>
    </row>
    <row r="38" spans="2:14">
      <c r="B38" s="98" t="s">
        <v>119</v>
      </c>
      <c r="C38" s="225"/>
      <c r="D38" s="122"/>
      <c r="E38" s="631">
        <v>-148</v>
      </c>
      <c r="F38" s="613">
        <v>-72</v>
      </c>
      <c r="G38" s="632">
        <v>-5.4298642533936653E-2</v>
      </c>
      <c r="H38" s="633">
        <v>-5.4298642533936653E-2</v>
      </c>
      <c r="I38" s="634"/>
      <c r="J38" s="628"/>
      <c r="K38" s="628"/>
      <c r="L38" s="628"/>
      <c r="M38" s="628"/>
      <c r="N38" s="635"/>
    </row>
    <row r="39" spans="2:14" ht="24">
      <c r="B39" s="98"/>
      <c r="C39" s="99" t="s">
        <v>54</v>
      </c>
      <c r="D39" s="122" t="s">
        <v>121</v>
      </c>
      <c r="E39" s="636">
        <v>490</v>
      </c>
      <c r="F39" s="615">
        <v>313</v>
      </c>
      <c r="G39" s="637">
        <v>0.23611431692663709</v>
      </c>
      <c r="H39" s="638">
        <v>0.22611431692663708</v>
      </c>
      <c r="I39" s="634"/>
      <c r="J39" s="628"/>
      <c r="K39" s="628"/>
      <c r="L39" s="628"/>
      <c r="M39" s="628"/>
      <c r="N39" s="639"/>
    </row>
    <row r="40" spans="2:14" ht="24">
      <c r="B40" s="98"/>
      <c r="C40" s="99" t="s">
        <v>149</v>
      </c>
      <c r="D40" s="122" t="s">
        <v>122</v>
      </c>
      <c r="E40" s="636">
        <v>43</v>
      </c>
      <c r="F40" s="615">
        <v>26</v>
      </c>
      <c r="G40" s="637">
        <v>1.9613329840551322E-2</v>
      </c>
      <c r="H40" s="638">
        <v>1.9613329840551322E-2</v>
      </c>
      <c r="I40" s="640"/>
      <c r="J40" s="628"/>
      <c r="K40" s="628"/>
      <c r="L40" s="628"/>
      <c r="M40" s="628"/>
      <c r="N40" s="639"/>
    </row>
    <row r="41" spans="2:14">
      <c r="B41" s="98"/>
      <c r="C41" s="99" t="s">
        <v>141</v>
      </c>
      <c r="D41" s="122" t="s">
        <v>142</v>
      </c>
      <c r="E41" s="636">
        <v>15</v>
      </c>
      <c r="F41" s="615">
        <v>11</v>
      </c>
      <c r="G41" s="637">
        <v>8.2979472402332517E-3</v>
      </c>
      <c r="H41" s="638">
        <v>8.2979472402332517E-3</v>
      </c>
      <c r="I41" s="641"/>
      <c r="J41" s="628"/>
      <c r="K41" s="628"/>
      <c r="L41" s="628"/>
      <c r="M41" s="628"/>
      <c r="N41" s="639"/>
    </row>
    <row r="42" spans="2:14" ht="24">
      <c r="B42" s="98"/>
      <c r="C42" s="99" t="s">
        <v>59</v>
      </c>
      <c r="D42" s="228" t="s">
        <v>131</v>
      </c>
      <c r="E42" s="636">
        <v>43</v>
      </c>
      <c r="F42" s="615">
        <v>30</v>
      </c>
      <c r="G42" s="637">
        <v>2.2630765200636144E-2</v>
      </c>
      <c r="H42" s="638">
        <v>2.2630765200636144E-2</v>
      </c>
      <c r="I42" s="641"/>
      <c r="J42" s="628"/>
      <c r="K42" s="628"/>
      <c r="L42" s="628"/>
      <c r="M42" s="628"/>
      <c r="N42" s="639"/>
    </row>
    <row r="43" spans="2:14" ht="24">
      <c r="B43" s="98"/>
      <c r="C43" s="229" t="s">
        <v>143</v>
      </c>
      <c r="D43" s="228" t="s">
        <v>124</v>
      </c>
      <c r="E43" s="636">
        <v>201</v>
      </c>
      <c r="F43" s="636">
        <v>121</v>
      </c>
      <c r="G43" s="637">
        <v>9.1277419642565777E-2</v>
      </c>
      <c r="H43" s="638">
        <v>9.1277419642565777E-2</v>
      </c>
      <c r="I43" s="641"/>
      <c r="J43" s="628"/>
      <c r="K43" s="628"/>
      <c r="L43" s="628"/>
      <c r="M43" s="628"/>
      <c r="N43" s="639"/>
    </row>
    <row r="44" spans="2:14" ht="12.75" thickBot="1">
      <c r="B44" s="642" t="s">
        <v>125</v>
      </c>
      <c r="C44" s="627"/>
      <c r="D44" s="643"/>
      <c r="E44" s="621">
        <v>644</v>
      </c>
      <c r="F44" s="621">
        <v>429</v>
      </c>
      <c r="G44" s="644">
        <v>0.32361994236909686</v>
      </c>
      <c r="H44" s="645">
        <v>0.31361994236909685</v>
      </c>
      <c r="J44" s="628"/>
      <c r="K44" s="628"/>
      <c r="L44" s="628"/>
      <c r="M44" s="628"/>
      <c r="N44" s="639"/>
    </row>
    <row r="45" spans="2:14" ht="4.5" customHeight="1" thickTop="1" thickBot="1">
      <c r="B45" s="646"/>
      <c r="C45" s="647"/>
      <c r="D45" s="648"/>
      <c r="E45" s="649"/>
      <c r="F45" s="649"/>
      <c r="G45" s="650"/>
      <c r="H45" s="651"/>
      <c r="I45" s="627"/>
      <c r="J45" s="628"/>
      <c r="K45" s="628"/>
      <c r="L45" s="628"/>
      <c r="M45" s="628"/>
      <c r="N45" s="628"/>
    </row>
    <row r="46" spans="2:14">
      <c r="B46" s="628"/>
      <c r="C46" s="628"/>
      <c r="D46" s="629"/>
      <c r="E46" s="628"/>
      <c r="F46" s="628"/>
      <c r="G46" s="628"/>
      <c r="H46" s="628"/>
      <c r="I46" s="628"/>
      <c r="J46" s="628"/>
      <c r="K46" s="628"/>
      <c r="L46" s="628"/>
      <c r="M46" s="628"/>
      <c r="N46" s="628"/>
    </row>
    <row r="47" spans="2:14">
      <c r="B47" s="628"/>
      <c r="C47" s="628"/>
      <c r="D47" s="629"/>
      <c r="E47" s="628"/>
      <c r="F47" s="628"/>
      <c r="G47" s="628"/>
      <c r="H47" s="628"/>
      <c r="I47" s="628"/>
      <c r="J47" s="628"/>
      <c r="K47" s="628"/>
      <c r="L47" s="628"/>
      <c r="M47" s="628"/>
      <c r="N47" s="628"/>
    </row>
    <row r="48" spans="2:14">
      <c r="C48" s="652" t="s">
        <v>136</v>
      </c>
    </row>
    <row r="49" spans="2:14">
      <c r="B49" s="628"/>
      <c r="C49" s="653" t="s">
        <v>144</v>
      </c>
      <c r="D49" s="653"/>
      <c r="E49" s="653"/>
      <c r="F49" s="653"/>
      <c r="G49" s="653"/>
      <c r="H49" s="653"/>
      <c r="I49" s="653"/>
      <c r="J49" s="653"/>
      <c r="K49" s="653"/>
      <c r="L49" s="653"/>
      <c r="M49" s="653"/>
      <c r="N49" s="653"/>
    </row>
    <row r="50" spans="2:14" s="655" customFormat="1" ht="12.75" customHeight="1">
      <c r="B50" s="654"/>
      <c r="C50" s="653" t="s">
        <v>307</v>
      </c>
      <c r="D50" s="653"/>
      <c r="E50" s="653"/>
      <c r="F50" s="653"/>
      <c r="G50" s="653"/>
      <c r="H50" s="653"/>
      <c r="I50" s="653"/>
      <c r="J50" s="653"/>
      <c r="K50" s="653"/>
      <c r="L50" s="653"/>
      <c r="M50" s="653"/>
      <c r="N50" s="653"/>
    </row>
    <row r="51" spans="2:14" s="655" customFormat="1">
      <c r="B51" s="210"/>
      <c r="C51" s="653" t="s">
        <v>146</v>
      </c>
      <c r="D51" s="653"/>
      <c r="E51" s="653"/>
      <c r="F51" s="653"/>
      <c r="G51" s="653"/>
      <c r="H51" s="653"/>
      <c r="I51" s="653"/>
      <c r="J51" s="653"/>
      <c r="K51" s="653"/>
      <c r="L51" s="653"/>
      <c r="M51" s="653"/>
      <c r="N51" s="653"/>
    </row>
    <row r="52" spans="2:14" s="655" customFormat="1" ht="12.75" customHeight="1">
      <c r="B52" s="654"/>
      <c r="C52" s="653" t="s">
        <v>147</v>
      </c>
      <c r="D52" s="653"/>
      <c r="E52" s="653"/>
      <c r="F52" s="653"/>
      <c r="G52" s="653"/>
      <c r="H52" s="653"/>
      <c r="I52" s="653"/>
      <c r="J52" s="653"/>
      <c r="K52" s="653"/>
      <c r="L52" s="653"/>
      <c r="M52" s="653"/>
      <c r="N52" s="653"/>
    </row>
    <row r="53" spans="2:14" s="655" customFormat="1" ht="12.75" customHeight="1">
      <c r="B53" s="654"/>
      <c r="C53" s="652"/>
      <c r="D53" s="656"/>
      <c r="E53" s="656"/>
      <c r="F53" s="656"/>
      <c r="G53" s="656"/>
      <c r="H53" s="656"/>
      <c r="I53" s="656"/>
      <c r="J53" s="656"/>
      <c r="K53" s="656"/>
      <c r="L53" s="656"/>
      <c r="M53" s="656"/>
      <c r="N53" s="321"/>
    </row>
    <row r="54" spans="2:14" s="655" customFormat="1" ht="24" customHeight="1">
      <c r="B54" s="654"/>
      <c r="C54" s="653" t="s">
        <v>308</v>
      </c>
      <c r="D54" s="653"/>
      <c r="E54" s="653"/>
      <c r="F54" s="653"/>
      <c r="G54" s="653"/>
      <c r="H54" s="653"/>
      <c r="I54" s="653"/>
      <c r="J54" s="653"/>
      <c r="K54" s="653"/>
      <c r="L54" s="653"/>
      <c r="M54" s="653"/>
      <c r="N54" s="653"/>
    </row>
    <row r="55" spans="2:14" s="655" customFormat="1" ht="12.75" customHeight="1">
      <c r="B55" s="657"/>
      <c r="C55" s="321"/>
      <c r="D55" s="658"/>
      <c r="E55" s="658"/>
      <c r="F55" s="658"/>
      <c r="G55" s="658"/>
      <c r="H55" s="658"/>
      <c r="I55" s="658"/>
      <c r="J55" s="658"/>
      <c r="K55" s="658"/>
      <c r="L55" s="658"/>
      <c r="M55" s="658"/>
      <c r="N55" s="321"/>
    </row>
  </sheetData>
  <mergeCells count="8">
    <mergeCell ref="C52:N52"/>
    <mergeCell ref="C54:N54"/>
    <mergeCell ref="B1:N1"/>
    <mergeCell ref="B2:N2"/>
    <mergeCell ref="B3:N3"/>
    <mergeCell ref="C49:N49"/>
    <mergeCell ref="C50:N50"/>
    <mergeCell ref="C51:N51"/>
  </mergeCells>
  <pageMargins left="0.7" right="0.7" top="0.25" bottom="0.44" header="0.3" footer="0.3"/>
  <pageSetup scale="51" orientation="portrait" r:id="rId1"/>
  <headerFooter>
    <oddFooter>&amp;LActivision Blizzard, Inc.&amp;R&amp;P of &amp; 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2"/>
  <sheetViews>
    <sheetView showGridLines="0" tabSelected="1" view="pageBreakPreview" zoomScale="80" zoomScaleNormal="100" zoomScaleSheetLayoutView="80" zoomScalePageLayoutView="68" workbookViewId="0">
      <pane xSplit="4" ySplit="7" topLeftCell="E8" activePane="bottomRight" state="frozen"/>
      <selection activeCell="A19" sqref="A19:R19"/>
      <selection pane="topRight" activeCell="A19" sqref="A19:R19"/>
      <selection pane="bottomLeft" activeCell="A19" sqref="A19:R19"/>
      <selection pane="bottomRight" activeCell="E8" sqref="E8"/>
    </sheetView>
  </sheetViews>
  <sheetFormatPr defaultColWidth="8.85546875" defaultRowHeight="15" outlineLevelRow="1" outlineLevelCol="1"/>
  <cols>
    <col min="1" max="3" width="2.7109375" style="5" customWidth="1"/>
    <col min="4" max="4" width="59.140625" style="5" customWidth="1"/>
    <col min="5" max="7" width="10.5703125" style="27" customWidth="1" outlineLevel="1"/>
    <col min="8" max="10" width="10.5703125" style="408" customWidth="1" outlineLevel="1"/>
    <col min="11" max="15" width="10.5703125" style="408" customWidth="1"/>
    <col min="16" max="16" width="10" style="409" customWidth="1"/>
    <col min="17" max="22" width="10" style="27" customWidth="1"/>
    <col min="23" max="23" width="1.42578125" style="27" customWidth="1"/>
    <col min="24" max="16384" width="8.85546875" style="27"/>
  </cols>
  <sheetData>
    <row r="1" spans="1:27" s="31" customFormat="1" ht="15" customHeight="1" collapsed="1">
      <c r="A1" s="586" t="s">
        <v>42</v>
      </c>
      <c r="B1" s="586"/>
      <c r="C1" s="586"/>
      <c r="D1" s="586"/>
      <c r="E1" s="586"/>
      <c r="F1" s="586"/>
      <c r="G1" s="586"/>
      <c r="H1" s="586"/>
      <c r="I1" s="586"/>
      <c r="J1" s="586"/>
      <c r="K1" s="586"/>
      <c r="L1" s="586"/>
      <c r="M1" s="586"/>
      <c r="N1" s="586"/>
      <c r="O1" s="586"/>
      <c r="P1" s="586"/>
      <c r="Q1" s="586"/>
      <c r="R1" s="586"/>
      <c r="S1" s="586"/>
      <c r="T1" s="586"/>
      <c r="U1" s="586"/>
      <c r="V1" s="586"/>
      <c r="W1" s="586"/>
    </row>
    <row r="2" spans="1:27" s="31" customFormat="1" ht="15" customHeight="1">
      <c r="A2" s="586" t="s">
        <v>28</v>
      </c>
      <c r="B2" s="586"/>
      <c r="C2" s="586"/>
      <c r="D2" s="586"/>
      <c r="E2" s="586"/>
      <c r="F2" s="586"/>
      <c r="G2" s="586"/>
      <c r="H2" s="586"/>
      <c r="I2" s="586"/>
      <c r="J2" s="586"/>
      <c r="K2" s="586"/>
      <c r="L2" s="586"/>
      <c r="M2" s="586"/>
      <c r="N2" s="586"/>
      <c r="O2" s="586"/>
      <c r="P2" s="586"/>
      <c r="Q2" s="586"/>
      <c r="R2" s="586"/>
      <c r="S2" s="586"/>
      <c r="T2" s="586"/>
      <c r="U2" s="586"/>
      <c r="V2" s="586"/>
      <c r="W2" s="586"/>
    </row>
    <row r="3" spans="1:27" s="31" customFormat="1" ht="15" customHeight="1">
      <c r="A3" s="586" t="s">
        <v>24</v>
      </c>
      <c r="B3" s="586"/>
      <c r="C3" s="586"/>
      <c r="D3" s="586"/>
      <c r="E3" s="586"/>
      <c r="F3" s="586"/>
      <c r="G3" s="586"/>
      <c r="H3" s="586"/>
      <c r="I3" s="586"/>
      <c r="J3" s="586"/>
      <c r="K3" s="586"/>
      <c r="L3" s="586"/>
      <c r="M3" s="586"/>
      <c r="N3" s="586"/>
      <c r="O3" s="586"/>
      <c r="P3" s="586"/>
      <c r="Q3" s="586"/>
      <c r="R3" s="586"/>
      <c r="S3" s="586"/>
      <c r="T3" s="586"/>
      <c r="U3" s="586"/>
      <c r="V3" s="586"/>
      <c r="W3" s="586"/>
      <c r="AA3" s="30"/>
    </row>
    <row r="5" spans="1:27">
      <c r="A5" s="20" t="s">
        <v>159</v>
      </c>
    </row>
    <row r="6" spans="1:27">
      <c r="E6" s="19" t="s">
        <v>228</v>
      </c>
      <c r="F6" s="19" t="s">
        <v>6</v>
      </c>
      <c r="G6" s="19" t="s">
        <v>3</v>
      </c>
      <c r="H6" s="410" t="s">
        <v>4</v>
      </c>
      <c r="I6" s="410" t="s">
        <v>5</v>
      </c>
      <c r="J6" s="410" t="s">
        <v>6</v>
      </c>
      <c r="K6" s="410" t="s">
        <v>3</v>
      </c>
      <c r="L6" s="410" t="s">
        <v>4</v>
      </c>
      <c r="M6" s="410" t="s">
        <v>5</v>
      </c>
      <c r="N6" s="410" t="s">
        <v>6</v>
      </c>
      <c r="O6" s="410" t="s">
        <v>3</v>
      </c>
      <c r="P6" s="410" t="s">
        <v>4</v>
      </c>
      <c r="Q6" s="410" t="s">
        <v>5</v>
      </c>
      <c r="R6" s="410" t="s">
        <v>6</v>
      </c>
      <c r="S6" s="410" t="s">
        <v>3</v>
      </c>
      <c r="T6" s="410" t="s">
        <v>4</v>
      </c>
      <c r="U6" s="410" t="s">
        <v>5</v>
      </c>
      <c r="V6" s="410" t="s">
        <v>6</v>
      </c>
    </row>
    <row r="7" spans="1:27">
      <c r="A7" s="44"/>
      <c r="B7" s="44"/>
      <c r="C7" s="44"/>
      <c r="D7" s="44"/>
      <c r="E7" s="45" t="s">
        <v>43</v>
      </c>
      <c r="F7" s="45" t="s">
        <v>43</v>
      </c>
      <c r="G7" s="45" t="s">
        <v>44</v>
      </c>
      <c r="H7" s="411" t="s">
        <v>44</v>
      </c>
      <c r="I7" s="411" t="s">
        <v>44</v>
      </c>
      <c r="J7" s="411" t="s">
        <v>44</v>
      </c>
      <c r="K7" s="411" t="s">
        <v>45</v>
      </c>
      <c r="L7" s="411" t="s">
        <v>45</v>
      </c>
      <c r="M7" s="411" t="s">
        <v>45</v>
      </c>
      <c r="N7" s="411" t="s">
        <v>45</v>
      </c>
      <c r="O7" s="411" t="s">
        <v>46</v>
      </c>
      <c r="P7" s="411" t="s">
        <v>46</v>
      </c>
      <c r="Q7" s="411" t="s">
        <v>46</v>
      </c>
      <c r="R7" s="411" t="s">
        <v>46</v>
      </c>
      <c r="S7" s="411" t="s">
        <v>266</v>
      </c>
      <c r="T7" s="411" t="s">
        <v>266</v>
      </c>
      <c r="U7" s="411" t="s">
        <v>266</v>
      </c>
      <c r="V7" s="411" t="s">
        <v>266</v>
      </c>
    </row>
    <row r="8" spans="1:27" ht="5.25" customHeight="1">
      <c r="A8" s="6"/>
      <c r="B8" s="6"/>
      <c r="C8" s="6"/>
      <c r="D8" s="6"/>
      <c r="P8" s="408"/>
      <c r="Q8" s="408"/>
      <c r="R8" s="408"/>
      <c r="S8" s="408"/>
      <c r="T8" s="408"/>
      <c r="U8" s="408"/>
      <c r="V8" s="408"/>
    </row>
    <row r="9" spans="1:27">
      <c r="A9" s="8"/>
      <c r="B9" s="1" t="s">
        <v>216</v>
      </c>
      <c r="C9" s="9"/>
      <c r="D9" s="8"/>
      <c r="E9" s="13">
        <v>711</v>
      </c>
      <c r="F9" s="13">
        <v>1639</v>
      </c>
      <c r="G9" s="13">
        <v>981</v>
      </c>
      <c r="H9" s="412">
        <v>1038</v>
      </c>
      <c r="I9" s="412">
        <v>703</v>
      </c>
      <c r="J9" s="412">
        <v>1557</v>
      </c>
      <c r="K9" s="412">
        <v>1308</v>
      </c>
      <c r="L9" s="412">
        <v>967</v>
      </c>
      <c r="M9" s="412">
        <v>745</v>
      </c>
      <c r="N9" s="412">
        <v>1427</v>
      </c>
      <c r="O9" s="412">
        <v>1449</v>
      </c>
      <c r="P9" s="412">
        <v>1146</v>
      </c>
      <c r="Q9" s="412">
        <v>754</v>
      </c>
      <c r="R9" s="412">
        <v>1407</v>
      </c>
      <c r="S9" s="412">
        <v>1172</v>
      </c>
      <c r="T9" s="412">
        <v>1075</v>
      </c>
      <c r="U9" s="412">
        <v>841</v>
      </c>
      <c r="V9" s="412">
        <v>1768</v>
      </c>
    </row>
    <row r="10" spans="1:27">
      <c r="A10" s="8"/>
      <c r="B10" s="1" t="s">
        <v>215</v>
      </c>
      <c r="C10" s="9"/>
      <c r="D10" s="8"/>
      <c r="E10" s="13"/>
      <c r="F10" s="13"/>
      <c r="G10" s="13"/>
      <c r="H10" s="412"/>
      <c r="I10" s="412"/>
      <c r="J10" s="412"/>
      <c r="K10" s="412"/>
      <c r="L10" s="412"/>
      <c r="M10" s="412"/>
      <c r="N10" s="412"/>
      <c r="O10" s="412"/>
      <c r="P10" s="412"/>
      <c r="Q10" s="412"/>
      <c r="R10" s="412"/>
      <c r="S10" s="412"/>
      <c r="T10" s="412"/>
      <c r="U10" s="412"/>
      <c r="V10" s="412"/>
    </row>
    <row r="11" spans="1:27" s="48" customFormat="1">
      <c r="A11" s="10"/>
      <c r="C11" s="2" t="s">
        <v>226</v>
      </c>
      <c r="D11" s="10"/>
      <c r="E11" s="47">
        <v>279</v>
      </c>
      <c r="F11" s="47">
        <v>805</v>
      </c>
      <c r="G11" s="47">
        <v>296</v>
      </c>
      <c r="H11" s="413">
        <v>281</v>
      </c>
      <c r="I11" s="413">
        <v>185</v>
      </c>
      <c r="J11" s="413">
        <v>670</v>
      </c>
      <c r="K11" s="413">
        <v>337</v>
      </c>
      <c r="L11" s="413">
        <v>235</v>
      </c>
      <c r="M11" s="413">
        <v>194</v>
      </c>
      <c r="N11" s="413">
        <v>585</v>
      </c>
      <c r="O11" s="413">
        <v>299</v>
      </c>
      <c r="P11" s="413">
        <v>213</v>
      </c>
      <c r="Q11" s="413">
        <v>138</v>
      </c>
      <c r="R11" s="413">
        <v>483</v>
      </c>
      <c r="S11" s="413">
        <v>257</v>
      </c>
      <c r="T11" s="413">
        <v>229</v>
      </c>
      <c r="U11" s="413">
        <v>146</v>
      </c>
      <c r="V11" s="413">
        <v>483</v>
      </c>
    </row>
    <row r="12" spans="1:27" s="48" customFormat="1">
      <c r="A12" s="10"/>
      <c r="C12" s="2" t="s">
        <v>256</v>
      </c>
      <c r="D12" s="10"/>
      <c r="E12" s="47">
        <v>43</v>
      </c>
      <c r="F12" s="47">
        <v>53</v>
      </c>
      <c r="G12" s="47">
        <v>52</v>
      </c>
      <c r="H12" s="413">
        <v>51</v>
      </c>
      <c r="I12" s="413">
        <v>55</v>
      </c>
      <c r="J12" s="413">
        <v>54</v>
      </c>
      <c r="K12" s="413">
        <f>54+2+2</f>
        <v>58</v>
      </c>
      <c r="L12" s="413">
        <f>52+1+2</f>
        <v>55</v>
      </c>
      <c r="M12" s="413">
        <f>61+3</f>
        <v>64</v>
      </c>
      <c r="N12" s="413">
        <f>73+3</f>
        <v>76</v>
      </c>
      <c r="O12" s="413">
        <f>63+3</f>
        <v>66</v>
      </c>
      <c r="P12" s="413">
        <f>59+3</f>
        <v>62</v>
      </c>
      <c r="Q12" s="413">
        <f>59+4</f>
        <v>63</v>
      </c>
      <c r="R12" s="413">
        <f>58+7</f>
        <v>65</v>
      </c>
      <c r="S12" s="413">
        <f>59+10</f>
        <v>69</v>
      </c>
      <c r="T12" s="413">
        <f>64+7</f>
        <v>71</v>
      </c>
      <c r="U12" s="413">
        <f>56+6</f>
        <v>62</v>
      </c>
      <c r="V12" s="413">
        <f>53+7</f>
        <v>60</v>
      </c>
    </row>
    <row r="13" spans="1:27" s="48" customFormat="1">
      <c r="A13" s="10"/>
      <c r="C13" s="2" t="s">
        <v>224</v>
      </c>
      <c r="D13" s="10"/>
      <c r="E13" s="47">
        <v>50</v>
      </c>
      <c r="F13" s="47">
        <v>179</v>
      </c>
      <c r="G13" s="47">
        <v>72</v>
      </c>
      <c r="H13" s="413">
        <v>86</v>
      </c>
      <c r="I13" s="413">
        <v>54</v>
      </c>
      <c r="J13" s="413">
        <v>136</v>
      </c>
      <c r="K13" s="413">
        <v>99</v>
      </c>
      <c r="L13" s="413">
        <v>51</v>
      </c>
      <c r="M13" s="413">
        <v>61</v>
      </c>
      <c r="N13" s="413">
        <v>128</v>
      </c>
      <c r="O13" s="413">
        <v>61</v>
      </c>
      <c r="P13" s="413">
        <v>47</v>
      </c>
      <c r="Q13" s="413">
        <v>24</v>
      </c>
      <c r="R13" s="413">
        <v>85</v>
      </c>
      <c r="S13" s="413">
        <v>31</v>
      </c>
      <c r="T13" s="413">
        <v>57</v>
      </c>
      <c r="U13" s="413">
        <v>19</v>
      </c>
      <c r="V13" s="413">
        <v>87</v>
      </c>
    </row>
    <row r="14" spans="1:27" s="48" customFormat="1">
      <c r="A14" s="10"/>
      <c r="C14" s="2" t="s">
        <v>225</v>
      </c>
      <c r="D14" s="10"/>
      <c r="E14" s="47">
        <v>36</v>
      </c>
      <c r="F14" s="47">
        <v>174</v>
      </c>
      <c r="G14" s="47">
        <v>64</v>
      </c>
      <c r="H14" s="413">
        <v>54</v>
      </c>
      <c r="I14" s="413">
        <v>45</v>
      </c>
      <c r="J14" s="413">
        <v>152</v>
      </c>
      <c r="K14" s="413">
        <v>43</v>
      </c>
      <c r="L14" s="413">
        <v>29</v>
      </c>
      <c r="M14" s="413">
        <v>33</v>
      </c>
      <c r="N14" s="413">
        <v>92</v>
      </c>
      <c r="O14" s="413">
        <v>29</v>
      </c>
      <c r="P14" s="413">
        <v>24</v>
      </c>
      <c r="Q14" s="413">
        <v>16</v>
      </c>
      <c r="R14" s="413">
        <v>96</v>
      </c>
      <c r="S14" s="413">
        <v>7</v>
      </c>
      <c r="T14" s="413">
        <v>20</v>
      </c>
      <c r="U14" s="413">
        <v>10</v>
      </c>
      <c r="V14" s="413">
        <v>52</v>
      </c>
    </row>
    <row r="15" spans="1:27">
      <c r="A15" s="10"/>
      <c r="B15" s="10"/>
      <c r="C15" s="6" t="s">
        <v>47</v>
      </c>
      <c r="D15" s="10"/>
      <c r="E15" s="15">
        <v>200</v>
      </c>
      <c r="F15" s="15">
        <v>196</v>
      </c>
      <c r="G15" s="15">
        <v>117</v>
      </c>
      <c r="H15" s="414">
        <v>123</v>
      </c>
      <c r="I15" s="414">
        <v>122</v>
      </c>
      <c r="J15" s="414">
        <v>265</v>
      </c>
      <c r="K15" s="414">
        <f>143-7-2</f>
        <v>134</v>
      </c>
      <c r="L15" s="414">
        <f>104-5-2</f>
        <v>97</v>
      </c>
      <c r="M15" s="414">
        <f>119-1-3</f>
        <v>115</v>
      </c>
      <c r="N15" s="414">
        <f>275-2-3</f>
        <v>270</v>
      </c>
      <c r="O15" s="414">
        <f>142-3</f>
        <v>139</v>
      </c>
      <c r="P15" s="414">
        <f>116-3</f>
        <v>113</v>
      </c>
      <c r="Q15" s="414">
        <f>133-4</f>
        <v>129</v>
      </c>
      <c r="R15" s="414">
        <f>256-7</f>
        <v>249</v>
      </c>
      <c r="S15" s="414">
        <f>124-10</f>
        <v>114</v>
      </c>
      <c r="T15" s="414">
        <f>152-7</f>
        <v>145</v>
      </c>
      <c r="U15" s="414">
        <f>131-6</f>
        <v>125</v>
      </c>
      <c r="V15" s="414">
        <f>229-7</f>
        <v>222</v>
      </c>
    </row>
    <row r="16" spans="1:27">
      <c r="A16" s="10"/>
      <c r="B16" s="10"/>
      <c r="C16" s="6" t="s">
        <v>48</v>
      </c>
      <c r="D16" s="10"/>
      <c r="E16" s="15">
        <v>142</v>
      </c>
      <c r="F16" s="15">
        <v>244</v>
      </c>
      <c r="G16" s="15">
        <v>83</v>
      </c>
      <c r="H16" s="414">
        <v>118</v>
      </c>
      <c r="I16" s="414">
        <v>128</v>
      </c>
      <c r="J16" s="414">
        <v>215</v>
      </c>
      <c r="K16" s="414">
        <v>56</v>
      </c>
      <c r="L16" s="414">
        <f>126-1</f>
        <v>125</v>
      </c>
      <c r="M16" s="414">
        <f>111-1</f>
        <v>110</v>
      </c>
      <c r="N16" s="414">
        <f>226-1</f>
        <v>225</v>
      </c>
      <c r="O16" s="414">
        <f>64-4</f>
        <v>60</v>
      </c>
      <c r="P16" s="414">
        <v>90</v>
      </c>
      <c r="Q16" s="414">
        <f>118-3</f>
        <v>115</v>
      </c>
      <c r="R16" s="414">
        <f>284-3</f>
        <v>281</v>
      </c>
      <c r="S16" s="414">
        <v>79</v>
      </c>
      <c r="T16" s="414">
        <v>136</v>
      </c>
      <c r="U16" s="414">
        <v>131</v>
      </c>
      <c r="V16" s="414">
        <v>232</v>
      </c>
    </row>
    <row r="17" spans="1:22">
      <c r="A17" s="10"/>
      <c r="B17" s="10"/>
      <c r="C17" s="6" t="s">
        <v>49</v>
      </c>
      <c r="D17" s="10"/>
      <c r="E17" s="15">
        <v>94</v>
      </c>
      <c r="F17" s="15">
        <v>104</v>
      </c>
      <c r="G17" s="15">
        <v>103</v>
      </c>
      <c r="H17" s="414">
        <v>92</v>
      </c>
      <c r="I17" s="414">
        <v>106</v>
      </c>
      <c r="J17" s="414">
        <v>94</v>
      </c>
      <c r="K17" s="414">
        <f>65+5</f>
        <v>70</v>
      </c>
      <c r="L17" s="518">
        <f>70+5</f>
        <v>75</v>
      </c>
      <c r="M17" s="414">
        <f>111+2</f>
        <v>113</v>
      </c>
      <c r="N17" s="414">
        <f>119+3</f>
        <v>122</v>
      </c>
      <c r="O17" s="414">
        <f>98+4</f>
        <v>102</v>
      </c>
      <c r="P17" s="414">
        <v>127</v>
      </c>
      <c r="Q17" s="414">
        <f>101+3</f>
        <v>104</v>
      </c>
      <c r="R17" s="414">
        <f>106+12+3+1</f>
        <v>122</v>
      </c>
      <c r="S17" s="414">
        <v>102</v>
      </c>
      <c r="T17" s="414">
        <v>190</v>
      </c>
      <c r="U17" s="414">
        <v>121</v>
      </c>
      <c r="V17" s="414">
        <v>148</v>
      </c>
    </row>
    <row r="18" spans="1:22">
      <c r="A18" s="10"/>
      <c r="B18" s="10"/>
      <c r="C18" s="6" t="s">
        <v>50</v>
      </c>
      <c r="D18" s="10"/>
      <c r="E18" s="15">
        <v>61</v>
      </c>
      <c r="F18" s="15">
        <v>32</v>
      </c>
      <c r="G18" s="15">
        <v>15</v>
      </c>
      <c r="H18" s="414">
        <v>15</v>
      </c>
      <c r="I18" s="414">
        <v>-1</v>
      </c>
      <c r="J18" s="414">
        <v>-6</v>
      </c>
      <c r="K18" s="414">
        <v>0</v>
      </c>
      <c r="L18" s="414">
        <v>0</v>
      </c>
      <c r="M18" s="414">
        <v>0</v>
      </c>
      <c r="N18" s="414">
        <v>0</v>
      </c>
      <c r="O18" s="414">
        <v>19</v>
      </c>
      <c r="P18" s="414">
        <v>3</v>
      </c>
      <c r="Q18" s="414">
        <v>3</v>
      </c>
      <c r="R18" s="414">
        <f>2-1</f>
        <v>1</v>
      </c>
      <c r="S18" s="414">
        <v>0</v>
      </c>
      <c r="T18" s="414">
        <v>0</v>
      </c>
      <c r="U18" s="414">
        <v>0</v>
      </c>
      <c r="V18" s="414">
        <v>0</v>
      </c>
    </row>
    <row r="19" spans="1:22" ht="16.5">
      <c r="A19" s="10"/>
      <c r="B19" s="10"/>
      <c r="C19" s="6" t="s">
        <v>51</v>
      </c>
      <c r="D19" s="10"/>
      <c r="E19" s="16">
        <v>0</v>
      </c>
      <c r="F19" s="16">
        <v>0</v>
      </c>
      <c r="G19" s="16">
        <v>0</v>
      </c>
      <c r="H19" s="415">
        <v>0</v>
      </c>
      <c r="I19" s="415">
        <v>0</v>
      </c>
      <c r="J19" s="415">
        <v>409</v>
      </c>
      <c r="K19" s="415">
        <v>0</v>
      </c>
      <c r="L19" s="415">
        <v>0</v>
      </c>
      <c r="M19" s="415">
        <v>0</v>
      </c>
      <c r="N19" s="415">
        <v>326</v>
      </c>
      <c r="O19" s="415">
        <v>0</v>
      </c>
      <c r="P19" s="415">
        <v>0</v>
      </c>
      <c r="Q19" s="415">
        <v>0</v>
      </c>
      <c r="R19" s="415">
        <v>0</v>
      </c>
      <c r="S19" s="415">
        <v>0</v>
      </c>
      <c r="T19" s="415">
        <v>0</v>
      </c>
      <c r="U19" s="415">
        <v>0</v>
      </c>
      <c r="V19" s="415">
        <v>0</v>
      </c>
    </row>
    <row r="20" spans="1:22" ht="16.5">
      <c r="A20" s="10"/>
      <c r="B20" s="10"/>
      <c r="C20" s="10"/>
      <c r="D20" s="10" t="s">
        <v>214</v>
      </c>
      <c r="E20" s="16">
        <f t="shared" ref="E20:P20" si="0">SUM(E11:E19)</f>
        <v>905</v>
      </c>
      <c r="F20" s="16">
        <f t="shared" si="0"/>
        <v>1787</v>
      </c>
      <c r="G20" s="16">
        <f t="shared" si="0"/>
        <v>802</v>
      </c>
      <c r="H20" s="415">
        <f t="shared" si="0"/>
        <v>820</v>
      </c>
      <c r="I20" s="415">
        <f t="shared" si="0"/>
        <v>694</v>
      </c>
      <c r="J20" s="415">
        <f t="shared" si="0"/>
        <v>1989</v>
      </c>
      <c r="K20" s="415">
        <f t="shared" si="0"/>
        <v>797</v>
      </c>
      <c r="L20" s="415">
        <f t="shared" si="0"/>
        <v>667</v>
      </c>
      <c r="M20" s="415">
        <f t="shared" si="0"/>
        <v>690</v>
      </c>
      <c r="N20" s="415">
        <f t="shared" si="0"/>
        <v>1824</v>
      </c>
      <c r="O20" s="415">
        <f t="shared" si="0"/>
        <v>775</v>
      </c>
      <c r="P20" s="415">
        <f t="shared" si="0"/>
        <v>679</v>
      </c>
      <c r="Q20" s="415">
        <f t="shared" ref="Q20:R20" si="1">SUM(Q11:Q19)</f>
        <v>592</v>
      </c>
      <c r="R20" s="415">
        <f t="shared" si="1"/>
        <v>1382</v>
      </c>
      <c r="S20" s="415">
        <f t="shared" ref="S20:T20" si="2">SUM(S11:S19)</f>
        <v>659</v>
      </c>
      <c r="T20" s="415">
        <f t="shared" si="2"/>
        <v>848</v>
      </c>
      <c r="U20" s="415">
        <f t="shared" ref="U20:V20" si="3">SUM(U11:U19)</f>
        <v>614</v>
      </c>
      <c r="V20" s="415">
        <f t="shared" si="3"/>
        <v>1284</v>
      </c>
    </row>
    <row r="21" spans="1:22">
      <c r="A21" s="11"/>
      <c r="B21" s="25" t="s">
        <v>1</v>
      </c>
      <c r="C21" s="3"/>
      <c r="D21" s="11"/>
      <c r="E21" s="14">
        <f t="shared" ref="E21:P21" si="4">+E9-E20</f>
        <v>-194</v>
      </c>
      <c r="F21" s="14">
        <f t="shared" si="4"/>
        <v>-148</v>
      </c>
      <c r="G21" s="14">
        <f t="shared" si="4"/>
        <v>179</v>
      </c>
      <c r="H21" s="416">
        <f t="shared" si="4"/>
        <v>218</v>
      </c>
      <c r="I21" s="416">
        <f t="shared" si="4"/>
        <v>9</v>
      </c>
      <c r="J21" s="416">
        <f t="shared" si="4"/>
        <v>-432</v>
      </c>
      <c r="K21" s="416">
        <f t="shared" si="4"/>
        <v>511</v>
      </c>
      <c r="L21" s="416">
        <f t="shared" si="4"/>
        <v>300</v>
      </c>
      <c r="M21" s="416">
        <f t="shared" si="4"/>
        <v>55</v>
      </c>
      <c r="N21" s="416">
        <f t="shared" si="4"/>
        <v>-397</v>
      </c>
      <c r="O21" s="416">
        <f t="shared" si="4"/>
        <v>674</v>
      </c>
      <c r="P21" s="416">
        <f t="shared" si="4"/>
        <v>467</v>
      </c>
      <c r="Q21" s="416">
        <f t="shared" ref="Q21:R21" si="5">+Q9-Q20</f>
        <v>162</v>
      </c>
      <c r="R21" s="416">
        <f t="shared" si="5"/>
        <v>25</v>
      </c>
      <c r="S21" s="416">
        <f t="shared" ref="S21:T21" si="6">+S9-S20</f>
        <v>513</v>
      </c>
      <c r="T21" s="416">
        <f t="shared" si="6"/>
        <v>227</v>
      </c>
      <c r="U21" s="416">
        <f t="shared" ref="U21:V21" si="7">+U9-U20</f>
        <v>227</v>
      </c>
      <c r="V21" s="416">
        <f t="shared" si="7"/>
        <v>484</v>
      </c>
    </row>
    <row r="22" spans="1:22" ht="16.5">
      <c r="A22" s="12"/>
      <c r="B22" s="2" t="s">
        <v>251</v>
      </c>
      <c r="C22" s="12"/>
      <c r="D22" s="12"/>
      <c r="E22" s="16">
        <v>24</v>
      </c>
      <c r="F22" s="16">
        <v>18</v>
      </c>
      <c r="G22" s="16">
        <v>10</v>
      </c>
      <c r="H22" s="415">
        <v>0</v>
      </c>
      <c r="I22" s="415">
        <v>11</v>
      </c>
      <c r="J22" s="415">
        <v>-3</v>
      </c>
      <c r="K22" s="415">
        <v>0</v>
      </c>
      <c r="L22" s="415">
        <v>1</v>
      </c>
      <c r="M22" s="415">
        <v>14</v>
      </c>
      <c r="N22" s="415">
        <v>8</v>
      </c>
      <c r="O22" s="415">
        <v>2</v>
      </c>
      <c r="P22" s="415">
        <v>2</v>
      </c>
      <c r="Q22" s="415">
        <v>3</v>
      </c>
      <c r="R22" s="415">
        <v>-5</v>
      </c>
      <c r="S22" s="415">
        <v>1</v>
      </c>
      <c r="T22" s="415">
        <v>2</v>
      </c>
      <c r="U22" s="415">
        <v>1</v>
      </c>
      <c r="V22" s="415">
        <v>3</v>
      </c>
    </row>
    <row r="23" spans="1:22">
      <c r="A23" s="12"/>
      <c r="B23" s="22" t="s">
        <v>52</v>
      </c>
      <c r="C23" s="4"/>
      <c r="D23" s="12"/>
      <c r="E23" s="15">
        <f>SUM(E21:E22)</f>
        <v>-170</v>
      </c>
      <c r="F23" s="15">
        <f t="shared" ref="F23:O23" si="8">SUM(F21:F22)</f>
        <v>-130</v>
      </c>
      <c r="G23" s="15">
        <f t="shared" si="8"/>
        <v>189</v>
      </c>
      <c r="H23" s="414">
        <f t="shared" si="8"/>
        <v>218</v>
      </c>
      <c r="I23" s="414">
        <f t="shared" si="8"/>
        <v>20</v>
      </c>
      <c r="J23" s="414">
        <f t="shared" si="8"/>
        <v>-435</v>
      </c>
      <c r="K23" s="414">
        <f t="shared" si="8"/>
        <v>511</v>
      </c>
      <c r="L23" s="414">
        <f t="shared" si="8"/>
        <v>301</v>
      </c>
      <c r="M23" s="414">
        <f t="shared" si="8"/>
        <v>69</v>
      </c>
      <c r="N23" s="414">
        <f t="shared" si="8"/>
        <v>-389</v>
      </c>
      <c r="O23" s="414">
        <f t="shared" si="8"/>
        <v>676</v>
      </c>
      <c r="P23" s="414">
        <f t="shared" ref="P23:Q23" si="9">SUM(P21:P22)</f>
        <v>469</v>
      </c>
      <c r="Q23" s="414">
        <f t="shared" si="9"/>
        <v>165</v>
      </c>
      <c r="R23" s="414">
        <f t="shared" ref="R23:S23" si="10">SUM(R21:R22)</f>
        <v>20</v>
      </c>
      <c r="S23" s="414">
        <f t="shared" si="10"/>
        <v>514</v>
      </c>
      <c r="T23" s="414">
        <f t="shared" ref="T23:U23" si="11">SUM(T21:T22)</f>
        <v>229</v>
      </c>
      <c r="U23" s="414">
        <f t="shared" si="11"/>
        <v>228</v>
      </c>
      <c r="V23" s="414">
        <f t="shared" ref="V23" si="12">SUM(V21:V22)</f>
        <v>487</v>
      </c>
    </row>
    <row r="24" spans="1:22" ht="16.5">
      <c r="A24" s="12"/>
      <c r="B24" s="2" t="s">
        <v>53</v>
      </c>
      <c r="C24" s="4"/>
      <c r="D24" s="12"/>
      <c r="E24" s="16">
        <v>-62</v>
      </c>
      <c r="F24" s="16">
        <v>-58</v>
      </c>
      <c r="G24" s="16">
        <v>0</v>
      </c>
      <c r="H24" s="415">
        <v>23</v>
      </c>
      <c r="I24" s="415">
        <v>5</v>
      </c>
      <c r="J24" s="415">
        <v>-149</v>
      </c>
      <c r="K24" s="415">
        <v>130</v>
      </c>
      <c r="L24" s="415">
        <v>82</v>
      </c>
      <c r="M24" s="415">
        <v>18</v>
      </c>
      <c r="N24" s="415">
        <v>-156</v>
      </c>
      <c r="O24" s="415">
        <v>173</v>
      </c>
      <c r="P24" s="415">
        <v>134</v>
      </c>
      <c r="Q24" s="415">
        <v>17</v>
      </c>
      <c r="R24" s="415">
        <v>-79</v>
      </c>
      <c r="S24" s="415">
        <v>130</v>
      </c>
      <c r="T24" s="415">
        <v>44</v>
      </c>
      <c r="U24" s="415">
        <v>2</v>
      </c>
      <c r="V24" s="415">
        <v>133</v>
      </c>
    </row>
    <row r="25" spans="1:22" ht="16.5">
      <c r="A25" s="9"/>
      <c r="B25" s="25" t="s">
        <v>2</v>
      </c>
      <c r="C25" s="9"/>
      <c r="D25" s="9"/>
      <c r="E25" s="17">
        <f>E23-E24</f>
        <v>-108</v>
      </c>
      <c r="F25" s="17">
        <f t="shared" ref="F25:O25" si="13">F23-F24</f>
        <v>-72</v>
      </c>
      <c r="G25" s="17">
        <f t="shared" si="13"/>
        <v>189</v>
      </c>
      <c r="H25" s="417">
        <f t="shared" si="13"/>
        <v>195</v>
      </c>
      <c r="I25" s="417">
        <f t="shared" si="13"/>
        <v>15</v>
      </c>
      <c r="J25" s="417">
        <f t="shared" si="13"/>
        <v>-286</v>
      </c>
      <c r="K25" s="417">
        <f t="shared" si="13"/>
        <v>381</v>
      </c>
      <c r="L25" s="417">
        <f t="shared" si="13"/>
        <v>219</v>
      </c>
      <c r="M25" s="417">
        <f t="shared" si="13"/>
        <v>51</v>
      </c>
      <c r="N25" s="417">
        <f t="shared" si="13"/>
        <v>-233</v>
      </c>
      <c r="O25" s="417">
        <f t="shared" si="13"/>
        <v>503</v>
      </c>
      <c r="P25" s="417">
        <f t="shared" ref="P25:U25" si="14">P23-P24</f>
        <v>335</v>
      </c>
      <c r="Q25" s="417">
        <f t="shared" si="14"/>
        <v>148</v>
      </c>
      <c r="R25" s="417">
        <f t="shared" si="14"/>
        <v>99</v>
      </c>
      <c r="S25" s="417">
        <f t="shared" si="14"/>
        <v>384</v>
      </c>
      <c r="T25" s="417">
        <f t="shared" si="14"/>
        <v>185</v>
      </c>
      <c r="U25" s="417">
        <f t="shared" si="14"/>
        <v>226</v>
      </c>
      <c r="V25" s="417">
        <f t="shared" ref="V25" si="15">V23-V24</f>
        <v>354</v>
      </c>
    </row>
    <row r="26" spans="1:22" ht="24" customHeight="1">
      <c r="A26" s="9"/>
      <c r="B26" s="25"/>
      <c r="C26" s="9"/>
      <c r="D26" s="9"/>
      <c r="E26" s="17"/>
      <c r="F26" s="17"/>
      <c r="G26" s="17"/>
      <c r="H26" s="417"/>
      <c r="I26" s="535"/>
      <c r="J26" s="417"/>
      <c r="K26" s="417"/>
      <c r="L26" s="417"/>
      <c r="M26" s="535"/>
      <c r="N26" s="417"/>
      <c r="O26" s="417"/>
      <c r="P26" s="417"/>
      <c r="Q26" s="535"/>
      <c r="R26" s="535"/>
      <c r="S26" s="535"/>
      <c r="T26" s="535"/>
      <c r="U26" s="535"/>
      <c r="V26" s="535"/>
    </row>
    <row r="27" spans="1:22">
      <c r="A27" s="32"/>
      <c r="B27" s="29" t="s">
        <v>32</v>
      </c>
      <c r="C27" s="29"/>
      <c r="D27" s="29"/>
      <c r="E27" s="33"/>
      <c r="F27" s="33"/>
      <c r="G27" s="33"/>
      <c r="H27" s="418"/>
      <c r="I27" s="418"/>
      <c r="J27" s="418"/>
      <c r="K27" s="418"/>
      <c r="L27" s="418"/>
      <c r="M27" s="418"/>
      <c r="N27" s="418"/>
      <c r="O27" s="418"/>
      <c r="P27" s="418"/>
      <c r="Q27" s="418"/>
      <c r="R27" s="418"/>
      <c r="S27" s="418"/>
      <c r="T27" s="418"/>
      <c r="U27" s="418"/>
      <c r="V27" s="418"/>
    </row>
    <row r="28" spans="1:22">
      <c r="A28" s="32"/>
      <c r="B28" s="29"/>
      <c r="C28" s="28" t="s">
        <v>34</v>
      </c>
      <c r="D28" s="29"/>
      <c r="E28" s="35">
        <v>-0.08</v>
      </c>
      <c r="F28" s="35">
        <v>-0.05</v>
      </c>
      <c r="G28" s="35">
        <v>0.14000000000000001</v>
      </c>
      <c r="H28" s="419">
        <v>0.15</v>
      </c>
      <c r="I28" s="419">
        <v>0.01</v>
      </c>
      <c r="J28" s="419">
        <v>-0.23</v>
      </c>
      <c r="K28" s="419">
        <v>0.3</v>
      </c>
      <c r="L28" s="419">
        <v>0.18</v>
      </c>
      <c r="M28" s="419">
        <v>0.04</v>
      </c>
      <c r="N28" s="419">
        <v>-0.2</v>
      </c>
      <c r="O28" s="419">
        <v>0.42</v>
      </c>
      <c r="P28" s="420">
        <v>0.28999999999999998</v>
      </c>
      <c r="Q28" s="420">
        <v>0.13</v>
      </c>
      <c r="R28" s="420">
        <v>0.09</v>
      </c>
      <c r="S28" s="420">
        <v>0.34</v>
      </c>
      <c r="T28" s="420">
        <v>0.16</v>
      </c>
      <c r="U28" s="420">
        <v>0.2</v>
      </c>
      <c r="V28" s="420">
        <v>0.31</v>
      </c>
    </row>
    <row r="29" spans="1:22">
      <c r="A29" s="32"/>
      <c r="B29" s="29"/>
      <c r="C29" s="28" t="s">
        <v>35</v>
      </c>
      <c r="D29" s="29"/>
      <c r="E29" s="35">
        <v>-0.08</v>
      </c>
      <c r="F29" s="36">
        <v>-0.05</v>
      </c>
      <c r="G29" s="36">
        <v>0.14000000000000001</v>
      </c>
      <c r="H29" s="420">
        <v>0.15</v>
      </c>
      <c r="I29" s="420">
        <v>0.01</v>
      </c>
      <c r="J29" s="420">
        <v>-0.23</v>
      </c>
      <c r="K29" s="420">
        <v>0.3</v>
      </c>
      <c r="L29" s="419">
        <v>0.17</v>
      </c>
      <c r="M29" s="419">
        <v>0.04</v>
      </c>
      <c r="N29" s="419">
        <v>-0.2</v>
      </c>
      <c r="O29" s="419">
        <v>0.42</v>
      </c>
      <c r="P29" s="420">
        <v>0.28999999999999998</v>
      </c>
      <c r="Q29" s="420">
        <v>0.13</v>
      </c>
      <c r="R29" s="420">
        <v>0.08</v>
      </c>
      <c r="S29" s="420">
        <v>0.33</v>
      </c>
      <c r="T29" s="420">
        <v>0.16</v>
      </c>
      <c r="U29" s="420">
        <v>0.2</v>
      </c>
      <c r="V29" s="420">
        <v>0.31</v>
      </c>
    </row>
    <row r="30" spans="1:22" ht="4.1500000000000004" customHeight="1">
      <c r="A30" s="32"/>
      <c r="B30" s="29"/>
      <c r="C30" s="29"/>
      <c r="D30" s="29"/>
      <c r="P30" s="421"/>
      <c r="Q30" s="421"/>
      <c r="R30" s="421"/>
      <c r="S30" s="421"/>
      <c r="T30" s="421"/>
      <c r="U30" s="421"/>
      <c r="V30" s="421"/>
    </row>
    <row r="31" spans="1:22">
      <c r="A31" s="32"/>
      <c r="B31" s="5" t="s">
        <v>33</v>
      </c>
      <c r="C31" s="32"/>
      <c r="D31" s="29"/>
      <c r="G31" s="405"/>
      <c r="H31" s="422"/>
      <c r="L31" s="422"/>
      <c r="P31" s="423"/>
      <c r="Q31" s="423"/>
      <c r="R31" s="423"/>
      <c r="S31" s="423"/>
      <c r="T31" s="423"/>
      <c r="U31" s="423"/>
      <c r="V31" s="423"/>
    </row>
    <row r="32" spans="1:22">
      <c r="A32" s="32"/>
      <c r="B32" s="29"/>
      <c r="C32" s="18" t="s">
        <v>34</v>
      </c>
      <c r="D32" s="29"/>
      <c r="E32" s="46">
        <v>1271</v>
      </c>
      <c r="F32" s="46">
        <v>1326</v>
      </c>
      <c r="G32" s="46">
        <v>1308</v>
      </c>
      <c r="H32" s="424">
        <v>1289</v>
      </c>
      <c r="I32" s="424">
        <v>1271</v>
      </c>
      <c r="J32" s="424">
        <v>1265</v>
      </c>
      <c r="K32" s="424">
        <v>1248</v>
      </c>
      <c r="L32" s="424">
        <v>1232</v>
      </c>
      <c r="M32" s="424">
        <v>1212</v>
      </c>
      <c r="N32" s="424">
        <v>1198</v>
      </c>
      <c r="O32" s="424">
        <v>1173</v>
      </c>
      <c r="P32" s="424">
        <v>1141</v>
      </c>
      <c r="Q32" s="424">
        <v>1140</v>
      </c>
      <c r="R32" s="424">
        <v>1139</v>
      </c>
      <c r="S32" s="424">
        <v>1120</v>
      </c>
      <c r="T32" s="424">
        <v>1109</v>
      </c>
      <c r="U32" s="424">
        <v>1109</v>
      </c>
      <c r="V32" s="424">
        <v>1111</v>
      </c>
    </row>
    <row r="33" spans="1:22">
      <c r="A33" s="32"/>
      <c r="B33" s="29"/>
      <c r="C33" s="18" t="s">
        <v>35</v>
      </c>
      <c r="D33" s="29"/>
      <c r="E33" s="46">
        <v>1271</v>
      </c>
      <c r="F33" s="46">
        <v>1326</v>
      </c>
      <c r="G33" s="37">
        <v>1359</v>
      </c>
      <c r="H33" s="424">
        <v>1332</v>
      </c>
      <c r="I33" s="424">
        <v>1297</v>
      </c>
      <c r="J33" s="424">
        <v>1265</v>
      </c>
      <c r="K33" s="424">
        <v>1264</v>
      </c>
      <c r="L33" s="424">
        <v>1248</v>
      </c>
      <c r="M33" s="424">
        <v>1227</v>
      </c>
      <c r="N33" s="424">
        <v>1198</v>
      </c>
      <c r="O33" s="424">
        <v>1182</v>
      </c>
      <c r="P33" s="424">
        <v>1150</v>
      </c>
      <c r="Q33" s="424">
        <v>1148</v>
      </c>
      <c r="R33" s="424">
        <v>1147</v>
      </c>
      <c r="S33" s="424">
        <v>1127</v>
      </c>
      <c r="T33" s="424">
        <v>1115</v>
      </c>
      <c r="U33" s="424">
        <v>1114</v>
      </c>
      <c r="V33" s="424">
        <v>1115</v>
      </c>
    </row>
    <row r="34" spans="1:22">
      <c r="A34" s="32"/>
      <c r="B34" s="29"/>
      <c r="C34" s="18"/>
      <c r="D34" s="29"/>
      <c r="E34" s="34"/>
      <c r="F34" s="34"/>
      <c r="G34" s="18"/>
      <c r="H34" s="425"/>
      <c r="I34" s="425"/>
      <c r="J34" s="425"/>
      <c r="K34" s="425"/>
      <c r="L34" s="425"/>
      <c r="M34" s="425"/>
      <c r="N34" s="425"/>
      <c r="O34" s="425"/>
      <c r="P34" s="426"/>
      <c r="Q34" s="426"/>
      <c r="R34" s="426"/>
      <c r="S34" s="426"/>
      <c r="T34" s="426"/>
      <c r="U34" s="426"/>
      <c r="V34" s="426"/>
    </row>
    <row r="35" spans="1:22">
      <c r="A35" s="20" t="s">
        <v>38</v>
      </c>
      <c r="B35" s="29"/>
      <c r="C35" s="18"/>
      <c r="D35" s="29"/>
      <c r="E35" s="34"/>
      <c r="F35" s="34"/>
      <c r="G35" s="18"/>
      <c r="H35" s="425"/>
      <c r="I35" s="425"/>
      <c r="J35" s="425"/>
      <c r="K35" s="425"/>
      <c r="L35" s="425"/>
      <c r="M35" s="425"/>
      <c r="N35" s="425"/>
      <c r="O35" s="425"/>
      <c r="P35" s="426"/>
      <c r="Q35" s="426"/>
      <c r="R35" s="426"/>
      <c r="S35" s="426"/>
      <c r="T35" s="426"/>
      <c r="U35" s="426"/>
      <c r="V35" s="426"/>
    </row>
    <row r="36" spans="1:22">
      <c r="A36" s="32"/>
      <c r="B36" s="29"/>
      <c r="C36" s="18"/>
      <c r="D36" s="29"/>
      <c r="E36" s="19" t="s">
        <v>228</v>
      </c>
      <c r="F36" s="19" t="str">
        <f t="shared" ref="F36:P36" si="16">F6</f>
        <v>Q4</v>
      </c>
      <c r="G36" s="19" t="str">
        <f t="shared" si="16"/>
        <v>Q1</v>
      </c>
      <c r="H36" s="410" t="str">
        <f t="shared" si="16"/>
        <v>Q2</v>
      </c>
      <c r="I36" s="410" t="str">
        <f t="shared" si="16"/>
        <v>Q3</v>
      </c>
      <c r="J36" s="410" t="str">
        <f t="shared" si="16"/>
        <v>Q4</v>
      </c>
      <c r="K36" s="410" t="str">
        <f t="shared" si="16"/>
        <v>Q1</v>
      </c>
      <c r="L36" s="410" t="str">
        <f t="shared" si="16"/>
        <v>Q2</v>
      </c>
      <c r="M36" s="410" t="str">
        <f t="shared" si="16"/>
        <v>Q3</v>
      </c>
      <c r="N36" s="410" t="str">
        <f t="shared" si="16"/>
        <v>Q4</v>
      </c>
      <c r="O36" s="410" t="str">
        <f t="shared" si="16"/>
        <v>Q1</v>
      </c>
      <c r="P36" s="410" t="str">
        <f t="shared" si="16"/>
        <v>Q2</v>
      </c>
      <c r="Q36" s="410" t="str">
        <f t="shared" ref="Q36:R36" si="17">Q6</f>
        <v>Q3</v>
      </c>
      <c r="R36" s="410" t="str">
        <f t="shared" si="17"/>
        <v>Q4</v>
      </c>
      <c r="S36" s="410" t="str">
        <f t="shared" ref="S36:T36" si="18">S6</f>
        <v>Q1</v>
      </c>
      <c r="T36" s="410" t="str">
        <f t="shared" si="18"/>
        <v>Q2</v>
      </c>
      <c r="U36" s="410" t="str">
        <f t="shared" ref="U36:V36" si="19">U6</f>
        <v>Q3</v>
      </c>
      <c r="V36" s="410" t="str">
        <f t="shared" si="19"/>
        <v>Q4</v>
      </c>
    </row>
    <row r="37" spans="1:22">
      <c r="A37" s="32"/>
      <c r="B37" s="29"/>
      <c r="C37" s="18"/>
      <c r="D37" s="29"/>
      <c r="E37" s="45" t="str">
        <f>E7</f>
        <v>CY08</v>
      </c>
      <c r="F37" s="45" t="str">
        <f t="shared" ref="F37:P37" si="20">F7</f>
        <v>CY08</v>
      </c>
      <c r="G37" s="45" t="str">
        <f t="shared" si="20"/>
        <v>CY09</v>
      </c>
      <c r="H37" s="411" t="str">
        <f t="shared" si="20"/>
        <v>CY09</v>
      </c>
      <c r="I37" s="411" t="str">
        <f t="shared" si="20"/>
        <v>CY09</v>
      </c>
      <c r="J37" s="411" t="str">
        <f t="shared" si="20"/>
        <v>CY09</v>
      </c>
      <c r="K37" s="411" t="str">
        <f t="shared" si="20"/>
        <v>CY10</v>
      </c>
      <c r="L37" s="411" t="str">
        <f t="shared" si="20"/>
        <v>CY10</v>
      </c>
      <c r="M37" s="411" t="str">
        <f t="shared" si="20"/>
        <v>CY10</v>
      </c>
      <c r="N37" s="411" t="str">
        <f t="shared" si="20"/>
        <v>CY10</v>
      </c>
      <c r="O37" s="411" t="str">
        <f t="shared" si="20"/>
        <v>CY11</v>
      </c>
      <c r="P37" s="411" t="str">
        <f t="shared" si="20"/>
        <v>CY11</v>
      </c>
      <c r="Q37" s="411" t="str">
        <f t="shared" ref="Q37:R37" si="21">Q7</f>
        <v>CY11</v>
      </c>
      <c r="R37" s="411" t="str">
        <f t="shared" si="21"/>
        <v>CY11</v>
      </c>
      <c r="S37" s="411" t="str">
        <f t="shared" ref="S37:T37" si="22">S7</f>
        <v>CY12</v>
      </c>
      <c r="T37" s="411" t="str">
        <f t="shared" si="22"/>
        <v>CY12</v>
      </c>
      <c r="U37" s="411" t="str">
        <f t="shared" ref="U37:V37" si="23">U7</f>
        <v>CY12</v>
      </c>
      <c r="V37" s="411" t="str">
        <f t="shared" si="23"/>
        <v>CY12</v>
      </c>
    </row>
    <row r="38" spans="1:22" ht="7.5" customHeight="1">
      <c r="A38" s="32"/>
      <c r="B38" s="29"/>
      <c r="C38" s="18"/>
      <c r="D38" s="29"/>
      <c r="E38" s="34"/>
      <c r="F38" s="34"/>
      <c r="G38" s="18"/>
      <c r="H38" s="425"/>
      <c r="I38" s="425"/>
      <c r="J38" s="425"/>
      <c r="K38" s="425"/>
      <c r="L38" s="425"/>
      <c r="M38" s="425"/>
      <c r="N38" s="425"/>
      <c r="O38" s="425"/>
      <c r="P38" s="427"/>
      <c r="Q38" s="427"/>
      <c r="R38" s="427"/>
      <c r="S38" s="427"/>
      <c r="T38" s="427"/>
      <c r="U38" s="427"/>
      <c r="V38" s="427"/>
    </row>
    <row r="39" spans="1:22" ht="16.5" customHeight="1">
      <c r="A39" s="32"/>
      <c r="B39" s="1" t="s">
        <v>215</v>
      </c>
      <c r="C39" s="18"/>
      <c r="D39" s="29"/>
      <c r="E39" s="34"/>
      <c r="F39" s="34"/>
      <c r="G39" s="18"/>
      <c r="H39" s="425"/>
      <c r="I39" s="425"/>
      <c r="J39" s="425"/>
      <c r="K39" s="425"/>
      <c r="L39" s="425"/>
      <c r="M39" s="425"/>
      <c r="N39" s="425"/>
      <c r="O39" s="425"/>
      <c r="P39" s="427"/>
      <c r="Q39" s="427"/>
      <c r="R39" s="427"/>
      <c r="S39" s="427"/>
      <c r="T39" s="427"/>
      <c r="U39" s="427"/>
      <c r="V39" s="427"/>
    </row>
    <row r="40" spans="1:22" s="48" customFormat="1">
      <c r="A40" s="10"/>
      <c r="C40" s="2" t="s">
        <v>226</v>
      </c>
      <c r="D40" s="10"/>
      <c r="E40" s="39">
        <f>E11/E$9</f>
        <v>0.39240506329113922</v>
      </c>
      <c r="F40" s="39">
        <f t="shared" ref="F40:O40" si="24">F11/F$9</f>
        <v>0.49115314215985356</v>
      </c>
      <c r="G40" s="39">
        <f t="shared" si="24"/>
        <v>0.30173292558613657</v>
      </c>
      <c r="H40" s="428">
        <f t="shared" si="24"/>
        <v>0.27071290944123316</v>
      </c>
      <c r="I40" s="428">
        <f t="shared" si="24"/>
        <v>0.26315789473684209</v>
      </c>
      <c r="J40" s="428">
        <f t="shared" si="24"/>
        <v>0.43031470777135516</v>
      </c>
      <c r="K40" s="428">
        <f t="shared" si="24"/>
        <v>0.25764525993883791</v>
      </c>
      <c r="L40" s="428">
        <f t="shared" si="24"/>
        <v>0.24301964839710444</v>
      </c>
      <c r="M40" s="428">
        <f t="shared" si="24"/>
        <v>0.26040268456375837</v>
      </c>
      <c r="N40" s="428">
        <f t="shared" si="24"/>
        <v>0.40995094604064469</v>
      </c>
      <c r="O40" s="428">
        <f t="shared" si="24"/>
        <v>0.20634920634920634</v>
      </c>
      <c r="P40" s="428">
        <f t="shared" ref="P40:P43" si="25">P11/P$9</f>
        <v>0.18586387434554974</v>
      </c>
      <c r="Q40" s="428">
        <f t="shared" ref="Q40" si="26">Q11/Q$9</f>
        <v>0.1830238726790451</v>
      </c>
      <c r="R40" s="428">
        <f t="shared" ref="R40:R44" si="27">R11/R$9</f>
        <v>0.34328358208955223</v>
      </c>
      <c r="S40" s="428">
        <f t="shared" ref="S40:T54" si="28">S11/S$9</f>
        <v>0.21928327645051193</v>
      </c>
      <c r="T40" s="428">
        <f t="shared" si="28"/>
        <v>0.21302325581395348</v>
      </c>
      <c r="U40" s="428">
        <f t="shared" ref="U40:V49" si="29">U11/U$9</f>
        <v>0.17360285374554102</v>
      </c>
      <c r="V40" s="428">
        <f t="shared" si="29"/>
        <v>0.27319004524886875</v>
      </c>
    </row>
    <row r="41" spans="1:22" s="48" customFormat="1">
      <c r="A41" s="10"/>
      <c r="C41" s="2" t="s">
        <v>256</v>
      </c>
      <c r="D41" s="10"/>
      <c r="E41" s="39">
        <f t="shared" ref="E41:O41" si="30">E12/E$9</f>
        <v>6.0478199718706049E-2</v>
      </c>
      <c r="F41" s="39">
        <f t="shared" si="30"/>
        <v>3.2336790726052472E-2</v>
      </c>
      <c r="G41" s="39">
        <f t="shared" si="30"/>
        <v>5.3007135575942915E-2</v>
      </c>
      <c r="H41" s="428">
        <f t="shared" si="30"/>
        <v>4.9132947976878616E-2</v>
      </c>
      <c r="I41" s="428">
        <f t="shared" si="30"/>
        <v>7.8236130867709822E-2</v>
      </c>
      <c r="J41" s="428">
        <f t="shared" si="30"/>
        <v>3.4682080924855488E-2</v>
      </c>
      <c r="K41" s="428">
        <f t="shared" si="30"/>
        <v>4.4342507645259939E-2</v>
      </c>
      <c r="L41" s="428">
        <f t="shared" si="30"/>
        <v>5.6876938986556359E-2</v>
      </c>
      <c r="M41" s="428">
        <f t="shared" si="30"/>
        <v>8.5906040268456371E-2</v>
      </c>
      <c r="N41" s="428">
        <f t="shared" si="30"/>
        <v>5.3258584442887176E-2</v>
      </c>
      <c r="O41" s="428">
        <f t="shared" si="30"/>
        <v>4.5548654244306416E-2</v>
      </c>
      <c r="P41" s="428">
        <f t="shared" si="25"/>
        <v>5.4101221640488653E-2</v>
      </c>
      <c r="Q41" s="428">
        <f t="shared" ref="Q41:R54" si="31">Q12/Q$9</f>
        <v>8.3554376657824933E-2</v>
      </c>
      <c r="R41" s="428">
        <f t="shared" si="27"/>
        <v>4.6197583511016348E-2</v>
      </c>
      <c r="S41" s="428">
        <f t="shared" si="28"/>
        <v>5.8873720136518773E-2</v>
      </c>
      <c r="T41" s="428">
        <f t="shared" si="28"/>
        <v>6.6046511627906979E-2</v>
      </c>
      <c r="U41" s="428">
        <f t="shared" si="29"/>
        <v>7.3721759809750292E-2</v>
      </c>
      <c r="V41" s="428">
        <f t="shared" si="29"/>
        <v>3.3936651583710405E-2</v>
      </c>
    </row>
    <row r="42" spans="1:22" s="48" customFormat="1">
      <c r="A42" s="10"/>
      <c r="C42" s="2" t="s">
        <v>224</v>
      </c>
      <c r="D42" s="10"/>
      <c r="E42" s="39">
        <f t="shared" ref="E42:O42" si="32">E13/E$9</f>
        <v>7.0323488045007029E-2</v>
      </c>
      <c r="F42" s="39">
        <f t="shared" si="32"/>
        <v>0.10921293471629043</v>
      </c>
      <c r="G42" s="39">
        <f t="shared" si="32"/>
        <v>7.3394495412844041E-2</v>
      </c>
      <c r="H42" s="428">
        <f t="shared" si="32"/>
        <v>8.2851637764932567E-2</v>
      </c>
      <c r="I42" s="428">
        <f t="shared" si="32"/>
        <v>7.6813655761024183E-2</v>
      </c>
      <c r="J42" s="428">
        <f t="shared" si="32"/>
        <v>8.7347463070006418E-2</v>
      </c>
      <c r="K42" s="428">
        <f t="shared" si="32"/>
        <v>7.5688073394495417E-2</v>
      </c>
      <c r="L42" s="428">
        <f t="shared" si="32"/>
        <v>5.2740434332988625E-2</v>
      </c>
      <c r="M42" s="428">
        <f t="shared" si="32"/>
        <v>8.1879194630872482E-2</v>
      </c>
      <c r="N42" s="428">
        <f t="shared" si="32"/>
        <v>8.9698668535388923E-2</v>
      </c>
      <c r="O42" s="428">
        <f t="shared" si="32"/>
        <v>4.2097998619737752E-2</v>
      </c>
      <c r="P42" s="428">
        <f t="shared" si="25"/>
        <v>4.1012216404886559E-2</v>
      </c>
      <c r="Q42" s="428">
        <f t="shared" si="31"/>
        <v>3.1830238726790451E-2</v>
      </c>
      <c r="R42" s="428">
        <f t="shared" si="27"/>
        <v>6.041222459132907E-2</v>
      </c>
      <c r="S42" s="428">
        <f t="shared" si="28"/>
        <v>2.6450511945392493E-2</v>
      </c>
      <c r="T42" s="428">
        <f t="shared" si="28"/>
        <v>5.3023255813953486E-2</v>
      </c>
      <c r="U42" s="428">
        <f t="shared" si="29"/>
        <v>2.2592152199762187E-2</v>
      </c>
      <c r="V42" s="428">
        <f t="shared" si="29"/>
        <v>4.9208144796380089E-2</v>
      </c>
    </row>
    <row r="43" spans="1:22" s="48" customFormat="1">
      <c r="A43" s="10"/>
      <c r="C43" s="2" t="s">
        <v>225</v>
      </c>
      <c r="D43" s="10"/>
      <c r="E43" s="39">
        <f t="shared" ref="E43:O43" si="33">E14/E$9</f>
        <v>5.0632911392405063E-2</v>
      </c>
      <c r="F43" s="39">
        <f t="shared" si="33"/>
        <v>0.10616229408175717</v>
      </c>
      <c r="G43" s="39">
        <f t="shared" si="33"/>
        <v>6.5239551478083593E-2</v>
      </c>
      <c r="H43" s="428">
        <f t="shared" si="33"/>
        <v>5.2023121387283239E-2</v>
      </c>
      <c r="I43" s="428">
        <f t="shared" si="33"/>
        <v>6.4011379800853488E-2</v>
      </c>
      <c r="J43" s="428">
        <f t="shared" si="33"/>
        <v>9.7623635195889527E-2</v>
      </c>
      <c r="K43" s="428">
        <f t="shared" si="33"/>
        <v>3.2874617737003058E-2</v>
      </c>
      <c r="L43" s="428">
        <f t="shared" si="33"/>
        <v>2.9989658738366079E-2</v>
      </c>
      <c r="M43" s="428">
        <f t="shared" si="33"/>
        <v>4.429530201342282E-2</v>
      </c>
      <c r="N43" s="428">
        <f t="shared" si="33"/>
        <v>6.4470918009810793E-2</v>
      </c>
      <c r="O43" s="428">
        <f t="shared" si="33"/>
        <v>2.0013802622498276E-2</v>
      </c>
      <c r="P43" s="428">
        <f t="shared" si="25"/>
        <v>2.0942408376963352E-2</v>
      </c>
      <c r="Q43" s="428">
        <f t="shared" si="31"/>
        <v>2.1220159151193633E-2</v>
      </c>
      <c r="R43" s="428">
        <f t="shared" si="27"/>
        <v>6.8230277185501065E-2</v>
      </c>
      <c r="S43" s="428">
        <f t="shared" si="28"/>
        <v>5.9726962457337888E-3</v>
      </c>
      <c r="T43" s="428">
        <f t="shared" si="28"/>
        <v>1.8604651162790697E-2</v>
      </c>
      <c r="U43" s="428">
        <f t="shared" si="29"/>
        <v>1.1890606420927468E-2</v>
      </c>
      <c r="V43" s="428">
        <f t="shared" si="29"/>
        <v>2.9411764705882353E-2</v>
      </c>
    </row>
    <row r="44" spans="1:22">
      <c r="A44" s="10"/>
      <c r="B44" s="10"/>
      <c r="C44" s="6" t="s">
        <v>47</v>
      </c>
      <c r="D44" s="10"/>
      <c r="E44" s="39">
        <f t="shared" ref="E44:E53" si="34">E15/E$9</f>
        <v>0.28129395218002812</v>
      </c>
      <c r="F44" s="39">
        <f t="shared" ref="F44:O44" si="35">F15/F$9</f>
        <v>0.11958511287370348</v>
      </c>
      <c r="G44" s="39">
        <f t="shared" si="35"/>
        <v>0.11926605504587157</v>
      </c>
      <c r="H44" s="428">
        <f t="shared" si="35"/>
        <v>0.11849710982658959</v>
      </c>
      <c r="I44" s="428">
        <f t="shared" si="35"/>
        <v>0.17354196301564723</v>
      </c>
      <c r="J44" s="428">
        <f t="shared" si="35"/>
        <v>0.170199100834939</v>
      </c>
      <c r="K44" s="428">
        <f t="shared" si="35"/>
        <v>0.10244648318042814</v>
      </c>
      <c r="L44" s="428">
        <f t="shared" si="35"/>
        <v>0.10031023784901758</v>
      </c>
      <c r="M44" s="428">
        <f t="shared" si="35"/>
        <v>0.15436241610738255</v>
      </c>
      <c r="N44" s="428">
        <f t="shared" si="35"/>
        <v>0.18920812894183603</v>
      </c>
      <c r="O44" s="428">
        <f t="shared" si="35"/>
        <v>9.5928226363008975E-2</v>
      </c>
      <c r="P44" s="428">
        <f t="shared" ref="P44" si="36">P15/P$9</f>
        <v>9.8603839441535779E-2</v>
      </c>
      <c r="Q44" s="428">
        <f t="shared" si="31"/>
        <v>0.17108753315649866</v>
      </c>
      <c r="R44" s="428">
        <f t="shared" si="27"/>
        <v>0.17697228144989338</v>
      </c>
      <c r="S44" s="428">
        <f t="shared" si="28"/>
        <v>9.7269624573378843E-2</v>
      </c>
      <c r="T44" s="428">
        <f t="shared" si="28"/>
        <v>0.13488372093023257</v>
      </c>
      <c r="U44" s="428">
        <f t="shared" si="29"/>
        <v>0.14863258026159334</v>
      </c>
      <c r="V44" s="428">
        <f t="shared" si="29"/>
        <v>0.1255656108597285</v>
      </c>
    </row>
    <row r="45" spans="1:22">
      <c r="A45" s="10"/>
      <c r="B45" s="10"/>
      <c r="C45" s="6" t="s">
        <v>48</v>
      </c>
      <c r="D45" s="10"/>
      <c r="E45" s="39">
        <f t="shared" si="34"/>
        <v>0.19971870604781997</v>
      </c>
      <c r="F45" s="39">
        <f t="shared" ref="F45:O45" si="37">F16/F$9</f>
        <v>0.14887126296522268</v>
      </c>
      <c r="G45" s="39">
        <f t="shared" si="37"/>
        <v>8.4607543323139647E-2</v>
      </c>
      <c r="H45" s="428">
        <f t="shared" si="37"/>
        <v>0.11368015414258188</v>
      </c>
      <c r="I45" s="428">
        <f t="shared" si="37"/>
        <v>0.18207681365576103</v>
      </c>
      <c r="J45" s="428">
        <f t="shared" si="37"/>
        <v>0.13808606294155426</v>
      </c>
      <c r="K45" s="428">
        <f t="shared" si="37"/>
        <v>4.2813455657492352E-2</v>
      </c>
      <c r="L45" s="428">
        <f t="shared" si="37"/>
        <v>0.12926577042399173</v>
      </c>
      <c r="M45" s="428">
        <f t="shared" si="37"/>
        <v>0.1476510067114094</v>
      </c>
      <c r="N45" s="428">
        <f t="shared" si="37"/>
        <v>0.15767344078486334</v>
      </c>
      <c r="O45" s="428">
        <f t="shared" si="37"/>
        <v>4.1407867494824016E-2</v>
      </c>
      <c r="P45" s="428">
        <f t="shared" ref="P45" si="38">P16/P$9</f>
        <v>7.8534031413612565E-2</v>
      </c>
      <c r="Q45" s="428">
        <f t="shared" si="31"/>
        <v>0.15251989389920426</v>
      </c>
      <c r="R45" s="428">
        <f t="shared" si="31"/>
        <v>0.19971570717839374</v>
      </c>
      <c r="S45" s="428">
        <f t="shared" si="28"/>
        <v>6.7406143344709901E-2</v>
      </c>
      <c r="T45" s="428">
        <f t="shared" si="28"/>
        <v>0.12651162790697673</v>
      </c>
      <c r="U45" s="428">
        <f t="shared" si="29"/>
        <v>0.15576694411414982</v>
      </c>
      <c r="V45" s="428">
        <f t="shared" si="29"/>
        <v>0.13122171945701358</v>
      </c>
    </row>
    <row r="46" spans="1:22">
      <c r="A46" s="10"/>
      <c r="B46" s="10"/>
      <c r="C46" s="6" t="s">
        <v>49</v>
      </c>
      <c r="D46" s="10"/>
      <c r="E46" s="39">
        <f t="shared" si="34"/>
        <v>0.13220815752461323</v>
      </c>
      <c r="F46" s="39">
        <f t="shared" ref="F46:O46" si="39">F17/F$9</f>
        <v>6.3453325198291638E-2</v>
      </c>
      <c r="G46" s="39">
        <f t="shared" si="39"/>
        <v>0.10499490316004077</v>
      </c>
      <c r="H46" s="428">
        <f t="shared" si="39"/>
        <v>8.8631984585741813E-2</v>
      </c>
      <c r="I46" s="428">
        <f t="shared" si="39"/>
        <v>0.15078236130867709</v>
      </c>
      <c r="J46" s="428">
        <f t="shared" si="39"/>
        <v>6.0372511239563262E-2</v>
      </c>
      <c r="K46" s="428">
        <f t="shared" si="39"/>
        <v>5.3516819571865444E-2</v>
      </c>
      <c r="L46" s="428">
        <f t="shared" si="39"/>
        <v>7.7559462254395042E-2</v>
      </c>
      <c r="M46" s="428">
        <f t="shared" si="39"/>
        <v>0.15167785234899328</v>
      </c>
      <c r="N46" s="428">
        <f t="shared" si="39"/>
        <v>8.5494043447792573E-2</v>
      </c>
      <c r="O46" s="428">
        <f t="shared" si="39"/>
        <v>7.0393374741200831E-2</v>
      </c>
      <c r="P46" s="428">
        <f t="shared" ref="P46" si="40">P17/P$9</f>
        <v>0.11082024432809773</v>
      </c>
      <c r="Q46" s="428">
        <f t="shared" si="31"/>
        <v>0.13793103448275862</v>
      </c>
      <c r="R46" s="428">
        <f t="shared" si="31"/>
        <v>8.6709310589907607E-2</v>
      </c>
      <c r="S46" s="428">
        <f t="shared" si="28"/>
        <v>8.7030716723549492E-2</v>
      </c>
      <c r="T46" s="428">
        <f t="shared" si="28"/>
        <v>0.17674418604651163</v>
      </c>
      <c r="U46" s="428">
        <f t="shared" si="29"/>
        <v>0.14387633769322236</v>
      </c>
      <c r="V46" s="428">
        <f t="shared" si="29"/>
        <v>8.3710407239818999E-2</v>
      </c>
    </row>
    <row r="47" spans="1:22">
      <c r="A47" s="10"/>
      <c r="B47" s="10"/>
      <c r="C47" s="6" t="s">
        <v>50</v>
      </c>
      <c r="D47" s="10"/>
      <c r="E47" s="39">
        <f t="shared" si="34"/>
        <v>8.5794655414908577E-2</v>
      </c>
      <c r="F47" s="42">
        <f t="shared" ref="F47:O47" si="41">F18/F$9</f>
        <v>1.9524100061012812E-2</v>
      </c>
      <c r="G47" s="39">
        <f t="shared" si="41"/>
        <v>1.5290519877675841E-2</v>
      </c>
      <c r="H47" s="429">
        <f t="shared" si="41"/>
        <v>1.4450867052023121E-2</v>
      </c>
      <c r="I47" s="429">
        <f t="shared" si="41"/>
        <v>-1.4224751066856331E-3</v>
      </c>
      <c r="J47" s="429">
        <f t="shared" si="41"/>
        <v>-3.8535645472061657E-3</v>
      </c>
      <c r="K47" s="429">
        <f t="shared" si="41"/>
        <v>0</v>
      </c>
      <c r="L47" s="429">
        <f t="shared" si="41"/>
        <v>0</v>
      </c>
      <c r="M47" s="429">
        <f t="shared" si="41"/>
        <v>0</v>
      </c>
      <c r="N47" s="429">
        <f t="shared" si="41"/>
        <v>0</v>
      </c>
      <c r="O47" s="429">
        <f t="shared" si="41"/>
        <v>1.3112491373360938E-2</v>
      </c>
      <c r="P47" s="429">
        <f t="shared" ref="P47" si="42">P18/P$9</f>
        <v>2.617801047120419E-3</v>
      </c>
      <c r="Q47" s="429">
        <f t="shared" si="31"/>
        <v>3.9787798408488064E-3</v>
      </c>
      <c r="R47" s="429">
        <f t="shared" si="31"/>
        <v>7.1073205401563609E-4</v>
      </c>
      <c r="S47" s="429">
        <f t="shared" si="28"/>
        <v>0</v>
      </c>
      <c r="T47" s="429">
        <f t="shared" si="28"/>
        <v>0</v>
      </c>
      <c r="U47" s="429">
        <f t="shared" si="29"/>
        <v>0</v>
      </c>
      <c r="V47" s="428">
        <f t="shared" si="29"/>
        <v>0</v>
      </c>
    </row>
    <row r="48" spans="1:22" ht="16.5">
      <c r="A48" s="10"/>
      <c r="B48" s="10"/>
      <c r="C48" s="6" t="s">
        <v>51</v>
      </c>
      <c r="D48" s="10"/>
      <c r="E48" s="40">
        <f t="shared" si="34"/>
        <v>0</v>
      </c>
      <c r="F48" s="40">
        <f t="shared" ref="F48:O48" si="43">F19/F$9</f>
        <v>0</v>
      </c>
      <c r="G48" s="40">
        <f t="shared" si="43"/>
        <v>0</v>
      </c>
      <c r="H48" s="430">
        <f t="shared" si="43"/>
        <v>0</v>
      </c>
      <c r="I48" s="430">
        <f t="shared" si="43"/>
        <v>0</v>
      </c>
      <c r="J48" s="430">
        <f t="shared" si="43"/>
        <v>0.26268464996788699</v>
      </c>
      <c r="K48" s="430">
        <f t="shared" si="43"/>
        <v>0</v>
      </c>
      <c r="L48" s="430">
        <f t="shared" si="43"/>
        <v>0</v>
      </c>
      <c r="M48" s="430">
        <f t="shared" si="43"/>
        <v>0</v>
      </c>
      <c r="N48" s="430">
        <f t="shared" si="43"/>
        <v>0.22845129642606868</v>
      </c>
      <c r="O48" s="430">
        <f t="shared" si="43"/>
        <v>0</v>
      </c>
      <c r="P48" s="430">
        <f t="shared" ref="P48" si="44">P19/P$9</f>
        <v>0</v>
      </c>
      <c r="Q48" s="430">
        <f t="shared" si="31"/>
        <v>0</v>
      </c>
      <c r="R48" s="430">
        <f t="shared" si="31"/>
        <v>0</v>
      </c>
      <c r="S48" s="430">
        <f t="shared" si="28"/>
        <v>0</v>
      </c>
      <c r="T48" s="430">
        <f t="shared" si="28"/>
        <v>0</v>
      </c>
      <c r="U48" s="430">
        <f t="shared" si="29"/>
        <v>0</v>
      </c>
      <c r="V48" s="430">
        <f t="shared" si="29"/>
        <v>0</v>
      </c>
    </row>
    <row r="49" spans="1:22" ht="16.5">
      <c r="A49" s="10"/>
      <c r="B49" s="10"/>
      <c r="C49" s="10"/>
      <c r="D49" s="10" t="s">
        <v>214</v>
      </c>
      <c r="E49" s="40">
        <f t="shared" si="34"/>
        <v>1.2728551336146272</v>
      </c>
      <c r="F49" s="40">
        <f t="shared" ref="F49:O49" si="45">F20/F$9</f>
        <v>1.0902989627821842</v>
      </c>
      <c r="G49" s="40">
        <f t="shared" si="45"/>
        <v>0.817533129459735</v>
      </c>
      <c r="H49" s="430">
        <f t="shared" si="45"/>
        <v>0.78998073217726394</v>
      </c>
      <c r="I49" s="430">
        <f t="shared" si="45"/>
        <v>0.98719772403982931</v>
      </c>
      <c r="J49" s="430">
        <f t="shared" si="45"/>
        <v>1.277456647398844</v>
      </c>
      <c r="K49" s="430">
        <f t="shared" si="45"/>
        <v>0.60932721712538229</v>
      </c>
      <c r="L49" s="430">
        <f t="shared" si="45"/>
        <v>0.68976215098241989</v>
      </c>
      <c r="M49" s="430">
        <f t="shared" si="45"/>
        <v>0.9261744966442953</v>
      </c>
      <c r="N49" s="430">
        <f t="shared" si="45"/>
        <v>1.2782060266292923</v>
      </c>
      <c r="O49" s="430">
        <f t="shared" si="45"/>
        <v>0.5348516218081435</v>
      </c>
      <c r="P49" s="430">
        <f t="shared" ref="P49" si="46">P20/P$9</f>
        <v>0.5924956369982548</v>
      </c>
      <c r="Q49" s="430">
        <f t="shared" si="31"/>
        <v>0.78514588859416445</v>
      </c>
      <c r="R49" s="430">
        <f t="shared" si="31"/>
        <v>0.98223169864960913</v>
      </c>
      <c r="S49" s="430">
        <f t="shared" si="28"/>
        <v>0.5622866894197952</v>
      </c>
      <c r="T49" s="430">
        <f t="shared" si="28"/>
        <v>0.78883720930232559</v>
      </c>
      <c r="U49" s="430">
        <f t="shared" si="29"/>
        <v>0.73008323424494648</v>
      </c>
      <c r="V49" s="430">
        <f t="shared" si="29"/>
        <v>0.72624434389140269</v>
      </c>
    </row>
    <row r="50" spans="1:22">
      <c r="A50" s="11"/>
      <c r="B50" s="25" t="s">
        <v>1</v>
      </c>
      <c r="C50" s="3"/>
      <c r="D50" s="11"/>
      <c r="E50" s="38">
        <f t="shared" si="34"/>
        <v>-0.27285513361462727</v>
      </c>
      <c r="F50" s="38">
        <f t="shared" ref="F50:O50" si="47">F21/F$9</f>
        <v>-9.0298962782184258E-2</v>
      </c>
      <c r="G50" s="38">
        <f t="shared" si="47"/>
        <v>0.18246687054026503</v>
      </c>
      <c r="H50" s="431">
        <f t="shared" si="47"/>
        <v>0.21001926782273603</v>
      </c>
      <c r="I50" s="431">
        <f t="shared" si="47"/>
        <v>1.2802275960170697E-2</v>
      </c>
      <c r="J50" s="431">
        <f t="shared" si="47"/>
        <v>-0.2774566473988439</v>
      </c>
      <c r="K50" s="431">
        <f t="shared" si="47"/>
        <v>0.39067278287461776</v>
      </c>
      <c r="L50" s="431">
        <f t="shared" si="47"/>
        <v>0.31023784901758017</v>
      </c>
      <c r="M50" s="431">
        <f t="shared" si="47"/>
        <v>7.3825503355704702E-2</v>
      </c>
      <c r="N50" s="431">
        <f t="shared" si="47"/>
        <v>-0.27820602662929222</v>
      </c>
      <c r="O50" s="431">
        <f t="shared" si="47"/>
        <v>0.46514837819185645</v>
      </c>
      <c r="P50" s="431">
        <f>P21/P$9</f>
        <v>0.4075043630017452</v>
      </c>
      <c r="Q50" s="431">
        <f t="shared" si="31"/>
        <v>0.21485411140583555</v>
      </c>
      <c r="R50" s="431">
        <f t="shared" si="31"/>
        <v>1.7768301350390904E-2</v>
      </c>
      <c r="S50" s="431">
        <f t="shared" si="28"/>
        <v>0.4377133105802048</v>
      </c>
      <c r="T50" s="431">
        <f t="shared" si="28"/>
        <v>0.21116279069767441</v>
      </c>
      <c r="U50" s="431">
        <f t="shared" ref="U50:V50" si="48">U21/U$9</f>
        <v>0.26991676575505352</v>
      </c>
      <c r="V50" s="431">
        <f t="shared" si="48"/>
        <v>0.27375565610859731</v>
      </c>
    </row>
    <row r="51" spans="1:22" ht="16.5">
      <c r="A51" s="12"/>
      <c r="B51" s="2" t="s">
        <v>251</v>
      </c>
      <c r="C51" s="12"/>
      <c r="D51" s="12"/>
      <c r="E51" s="40">
        <f t="shared" si="34"/>
        <v>3.3755274261603373E-2</v>
      </c>
      <c r="F51" s="40">
        <f t="shared" ref="F51:O51" si="49">F22/F$9</f>
        <v>1.0982306284319707E-2</v>
      </c>
      <c r="G51" s="40">
        <f t="shared" si="49"/>
        <v>1.0193679918450561E-2</v>
      </c>
      <c r="H51" s="430">
        <f t="shared" si="49"/>
        <v>0</v>
      </c>
      <c r="I51" s="430">
        <f t="shared" si="49"/>
        <v>1.5647226173541962E-2</v>
      </c>
      <c r="J51" s="430">
        <f t="shared" si="49"/>
        <v>-1.9267822736030828E-3</v>
      </c>
      <c r="K51" s="430">
        <f t="shared" si="49"/>
        <v>0</v>
      </c>
      <c r="L51" s="430">
        <f t="shared" si="49"/>
        <v>1.0341261633919339E-3</v>
      </c>
      <c r="M51" s="430">
        <f t="shared" si="49"/>
        <v>1.8791946308724831E-2</v>
      </c>
      <c r="N51" s="430">
        <f t="shared" si="49"/>
        <v>5.6061667834618077E-3</v>
      </c>
      <c r="O51" s="430">
        <f t="shared" si="49"/>
        <v>1.3802622498274672E-3</v>
      </c>
      <c r="P51" s="430">
        <f t="shared" ref="P51" si="50">P22/P$9</f>
        <v>1.7452006980802793E-3</v>
      </c>
      <c r="Q51" s="430">
        <f t="shared" si="31"/>
        <v>3.9787798408488064E-3</v>
      </c>
      <c r="R51" s="430">
        <f t="shared" si="31"/>
        <v>-3.5536602700781805E-3</v>
      </c>
      <c r="S51" s="430">
        <f t="shared" si="28"/>
        <v>8.5324232081911264E-4</v>
      </c>
      <c r="T51" s="430">
        <f t="shared" si="28"/>
        <v>1.8604651162790699E-3</v>
      </c>
      <c r="U51" s="430">
        <f t="shared" ref="U51:V53" si="51">U22/U$9</f>
        <v>1.1890606420927466E-3</v>
      </c>
      <c r="V51" s="430">
        <f t="shared" si="51"/>
        <v>1.6968325791855204E-3</v>
      </c>
    </row>
    <row r="52" spans="1:22">
      <c r="A52" s="12"/>
      <c r="B52" s="22" t="s">
        <v>52</v>
      </c>
      <c r="C52" s="4"/>
      <c r="D52" s="12"/>
      <c r="E52" s="39">
        <f t="shared" si="34"/>
        <v>-0.23909985935302391</v>
      </c>
      <c r="F52" s="39">
        <f t="shared" ref="F52:O52" si="52">F23/F$9</f>
        <v>-7.9316656497864554E-2</v>
      </c>
      <c r="G52" s="39">
        <f t="shared" si="52"/>
        <v>0.19266055045871561</v>
      </c>
      <c r="H52" s="428">
        <f t="shared" si="52"/>
        <v>0.21001926782273603</v>
      </c>
      <c r="I52" s="428">
        <f t="shared" si="52"/>
        <v>2.8449502133712661E-2</v>
      </c>
      <c r="J52" s="428">
        <f t="shared" si="52"/>
        <v>-0.279383429672447</v>
      </c>
      <c r="K52" s="428">
        <f t="shared" si="52"/>
        <v>0.39067278287461776</v>
      </c>
      <c r="L52" s="428">
        <f t="shared" si="52"/>
        <v>0.3112719751809721</v>
      </c>
      <c r="M52" s="428">
        <f t="shared" si="52"/>
        <v>9.261744966442953E-2</v>
      </c>
      <c r="N52" s="428">
        <f t="shared" si="52"/>
        <v>-0.27259985984583041</v>
      </c>
      <c r="O52" s="428">
        <f t="shared" si="52"/>
        <v>0.46652864044168391</v>
      </c>
      <c r="P52" s="428">
        <f t="shared" ref="P52" si="53">P23/P$9</f>
        <v>0.40924956369982546</v>
      </c>
      <c r="Q52" s="428">
        <f t="shared" si="31"/>
        <v>0.21883289124668434</v>
      </c>
      <c r="R52" s="428">
        <f t="shared" si="31"/>
        <v>1.4214641080312722E-2</v>
      </c>
      <c r="S52" s="428">
        <f t="shared" si="28"/>
        <v>0.43856655290102387</v>
      </c>
      <c r="T52" s="428">
        <f t="shared" si="28"/>
        <v>0.21302325581395348</v>
      </c>
      <c r="U52" s="428">
        <f t="shared" si="51"/>
        <v>0.27110582639714625</v>
      </c>
      <c r="V52" s="428">
        <f t="shared" si="51"/>
        <v>0.27545248868778283</v>
      </c>
    </row>
    <row r="53" spans="1:22" ht="16.5">
      <c r="A53" s="12"/>
      <c r="B53" s="2" t="s">
        <v>53</v>
      </c>
      <c r="C53" s="4"/>
      <c r="D53" s="12"/>
      <c r="E53" s="40">
        <f t="shared" si="34"/>
        <v>-8.7201125175808719E-2</v>
      </c>
      <c r="F53" s="40">
        <f t="shared" ref="F53:O53" si="54">F24/F$9</f>
        <v>-3.5387431360585725E-2</v>
      </c>
      <c r="G53" s="40">
        <f t="shared" si="54"/>
        <v>0</v>
      </c>
      <c r="H53" s="430">
        <f t="shared" si="54"/>
        <v>2.2157996146435453E-2</v>
      </c>
      <c r="I53" s="430">
        <f t="shared" si="54"/>
        <v>7.1123755334281651E-3</v>
      </c>
      <c r="J53" s="430">
        <f t="shared" si="54"/>
        <v>-9.5696852922286454E-2</v>
      </c>
      <c r="K53" s="430">
        <f t="shared" si="54"/>
        <v>9.9388379204892963E-2</v>
      </c>
      <c r="L53" s="430">
        <f t="shared" si="54"/>
        <v>8.4798345398138575E-2</v>
      </c>
      <c r="M53" s="430">
        <f t="shared" si="54"/>
        <v>2.4161073825503355E-2</v>
      </c>
      <c r="N53" s="430">
        <f t="shared" si="54"/>
        <v>-0.10932025227750526</v>
      </c>
      <c r="O53" s="430">
        <f t="shared" si="54"/>
        <v>0.11939268461007592</v>
      </c>
      <c r="P53" s="430">
        <f t="shared" ref="P53" si="55">P24/P$9</f>
        <v>0.1169284467713787</v>
      </c>
      <c r="Q53" s="430">
        <f t="shared" si="31"/>
        <v>2.2546419098143235E-2</v>
      </c>
      <c r="R53" s="430">
        <f t="shared" si="31"/>
        <v>-5.614783226723525E-2</v>
      </c>
      <c r="S53" s="430">
        <f t="shared" si="28"/>
        <v>0.11092150170648464</v>
      </c>
      <c r="T53" s="430">
        <f t="shared" si="28"/>
        <v>4.0930232558139532E-2</v>
      </c>
      <c r="U53" s="430">
        <f t="shared" si="51"/>
        <v>2.3781212841854932E-3</v>
      </c>
      <c r="V53" s="430">
        <f t="shared" si="51"/>
        <v>7.5226244343891399E-2</v>
      </c>
    </row>
    <row r="54" spans="1:22" ht="16.5">
      <c r="A54" s="9"/>
      <c r="B54" s="25" t="s">
        <v>2</v>
      </c>
      <c r="C54" s="9"/>
      <c r="D54" s="9"/>
      <c r="E54" s="41">
        <f t="shared" ref="E54:O54" si="56">E25/E$9</f>
        <v>-0.15189873417721519</v>
      </c>
      <c r="F54" s="41">
        <f t="shared" si="56"/>
        <v>-4.3929225137278829E-2</v>
      </c>
      <c r="G54" s="41">
        <f t="shared" si="56"/>
        <v>0.19266055045871561</v>
      </c>
      <c r="H54" s="432">
        <f t="shared" si="56"/>
        <v>0.18786127167630057</v>
      </c>
      <c r="I54" s="432">
        <f t="shared" si="56"/>
        <v>2.1337126600284494E-2</v>
      </c>
      <c r="J54" s="432">
        <f t="shared" si="56"/>
        <v>-0.18368657675016056</v>
      </c>
      <c r="K54" s="432">
        <f t="shared" si="56"/>
        <v>0.29128440366972475</v>
      </c>
      <c r="L54" s="432">
        <f t="shared" si="56"/>
        <v>0.2264736297828335</v>
      </c>
      <c r="M54" s="432">
        <f t="shared" si="56"/>
        <v>6.8456375838926178E-2</v>
      </c>
      <c r="N54" s="432">
        <f t="shared" si="56"/>
        <v>-0.16327960756832516</v>
      </c>
      <c r="O54" s="432">
        <f t="shared" si="56"/>
        <v>0.347135955831608</v>
      </c>
      <c r="P54" s="432">
        <f t="shared" ref="P54" si="57">P25/P$9</f>
        <v>0.29232111692844676</v>
      </c>
      <c r="Q54" s="432">
        <f t="shared" si="31"/>
        <v>0.19628647214854111</v>
      </c>
      <c r="R54" s="432">
        <f t="shared" si="31"/>
        <v>7.0362473347547971E-2</v>
      </c>
      <c r="S54" s="432">
        <f t="shared" si="28"/>
        <v>0.32764505119453924</v>
      </c>
      <c r="T54" s="432">
        <f t="shared" si="28"/>
        <v>0.17209302325581396</v>
      </c>
      <c r="U54" s="432">
        <f t="shared" ref="U54:V54" si="58">U25/U$9</f>
        <v>0.26872770511296074</v>
      </c>
      <c r="V54" s="432">
        <f t="shared" si="58"/>
        <v>0.20022624434389141</v>
      </c>
    </row>
    <row r="55" spans="1:22" ht="16.5">
      <c r="A55" s="9"/>
      <c r="B55" s="25"/>
      <c r="C55" s="9"/>
      <c r="D55" s="9"/>
      <c r="E55" s="41"/>
      <c r="F55" s="41"/>
      <c r="G55" s="41"/>
      <c r="H55" s="432"/>
      <c r="I55" s="432"/>
      <c r="J55" s="432"/>
      <c r="K55" s="432"/>
      <c r="L55" s="432"/>
      <c r="M55" s="432"/>
      <c r="N55" s="432"/>
      <c r="O55" s="432"/>
      <c r="P55" s="432"/>
      <c r="Q55" s="432"/>
      <c r="R55" s="432"/>
      <c r="S55" s="432"/>
      <c r="T55" s="432"/>
      <c r="U55" s="432"/>
      <c r="V55" s="432"/>
    </row>
    <row r="56" spans="1:22" ht="16.5">
      <c r="A56" s="9"/>
      <c r="B56" s="550" t="s">
        <v>244</v>
      </c>
      <c r="C56" s="9"/>
      <c r="D56" s="9"/>
      <c r="E56" s="41"/>
      <c r="F56" s="41"/>
      <c r="G56" s="41"/>
      <c r="H56" s="432"/>
      <c r="I56" s="432"/>
      <c r="J56" s="432"/>
      <c r="K56" s="432"/>
      <c r="L56" s="432"/>
      <c r="M56" s="432"/>
      <c r="N56" s="432"/>
      <c r="O56" s="432"/>
      <c r="P56" s="432"/>
      <c r="Q56" s="432"/>
      <c r="R56" s="432"/>
      <c r="S56" s="432"/>
      <c r="T56" s="432"/>
      <c r="U56" s="432"/>
      <c r="V56" s="432"/>
    </row>
    <row r="57" spans="1:22">
      <c r="A57" s="20" t="s">
        <v>29</v>
      </c>
      <c r="B57" s="23"/>
      <c r="C57" s="24"/>
      <c r="D57" s="23"/>
      <c r="Q57" s="409"/>
      <c r="R57" s="409"/>
      <c r="S57" s="409"/>
      <c r="T57" s="409"/>
      <c r="U57" s="409"/>
      <c r="V57" s="409"/>
    </row>
    <row r="58" spans="1:22" ht="14.25" customHeight="1">
      <c r="A58" s="23"/>
      <c r="B58" s="24"/>
      <c r="C58" s="24"/>
      <c r="D58" s="23"/>
      <c r="E58" s="19" t="s">
        <v>228</v>
      </c>
      <c r="F58" s="19" t="str">
        <f t="shared" ref="F58:P58" si="59">F6</f>
        <v>Q4</v>
      </c>
      <c r="G58" s="19" t="str">
        <f t="shared" si="59"/>
        <v>Q1</v>
      </c>
      <c r="H58" s="410" t="str">
        <f t="shared" si="59"/>
        <v>Q2</v>
      </c>
      <c r="I58" s="410" t="str">
        <f t="shared" si="59"/>
        <v>Q3</v>
      </c>
      <c r="J58" s="410" t="str">
        <f t="shared" si="59"/>
        <v>Q4</v>
      </c>
      <c r="K58" s="410" t="str">
        <f t="shared" si="59"/>
        <v>Q1</v>
      </c>
      <c r="L58" s="410" t="str">
        <f t="shared" si="59"/>
        <v>Q2</v>
      </c>
      <c r="M58" s="410" t="str">
        <f t="shared" si="59"/>
        <v>Q3</v>
      </c>
      <c r="N58" s="410" t="str">
        <f t="shared" si="59"/>
        <v>Q4</v>
      </c>
      <c r="O58" s="410" t="str">
        <f t="shared" si="59"/>
        <v>Q1</v>
      </c>
      <c r="P58" s="410" t="str">
        <f t="shared" si="59"/>
        <v>Q2</v>
      </c>
      <c r="Q58" s="410" t="str">
        <f t="shared" ref="Q58:R58" si="60">Q6</f>
        <v>Q3</v>
      </c>
      <c r="R58" s="410" t="str">
        <f t="shared" si="60"/>
        <v>Q4</v>
      </c>
      <c r="S58" s="410" t="str">
        <f t="shared" ref="S58:T58" si="61">S6</f>
        <v>Q1</v>
      </c>
      <c r="T58" s="410" t="str">
        <f t="shared" si="61"/>
        <v>Q2</v>
      </c>
      <c r="U58" s="410" t="str">
        <f t="shared" ref="U58:V58" si="62">U6</f>
        <v>Q3</v>
      </c>
      <c r="V58" s="410" t="str">
        <f t="shared" si="62"/>
        <v>Q4</v>
      </c>
    </row>
    <row r="59" spans="1:22">
      <c r="A59" s="23"/>
      <c r="B59" s="26"/>
      <c r="C59" s="26"/>
      <c r="D59" s="23"/>
      <c r="E59" s="45" t="s">
        <v>43</v>
      </c>
      <c r="F59" s="45" t="str">
        <f t="shared" ref="F59:P59" si="63">F7</f>
        <v>CY08</v>
      </c>
      <c r="G59" s="45" t="str">
        <f t="shared" si="63"/>
        <v>CY09</v>
      </c>
      <c r="H59" s="411" t="str">
        <f t="shared" si="63"/>
        <v>CY09</v>
      </c>
      <c r="I59" s="411" t="str">
        <f t="shared" si="63"/>
        <v>CY09</v>
      </c>
      <c r="J59" s="411" t="str">
        <f t="shared" si="63"/>
        <v>CY09</v>
      </c>
      <c r="K59" s="411" t="str">
        <f t="shared" si="63"/>
        <v>CY10</v>
      </c>
      <c r="L59" s="411" t="str">
        <f t="shared" si="63"/>
        <v>CY10</v>
      </c>
      <c r="M59" s="411" t="str">
        <f t="shared" si="63"/>
        <v>CY10</v>
      </c>
      <c r="N59" s="411" t="str">
        <f t="shared" si="63"/>
        <v>CY10</v>
      </c>
      <c r="O59" s="411" t="str">
        <f t="shared" si="63"/>
        <v>CY11</v>
      </c>
      <c r="P59" s="411" t="str">
        <f t="shared" si="63"/>
        <v>CY11</v>
      </c>
      <c r="Q59" s="411" t="str">
        <f t="shared" ref="Q59:V59" si="64">Q7</f>
        <v>CY11</v>
      </c>
      <c r="R59" s="411" t="str">
        <f t="shared" si="64"/>
        <v>CY11</v>
      </c>
      <c r="S59" s="411" t="str">
        <f t="shared" si="64"/>
        <v>CY12</v>
      </c>
      <c r="T59" s="411" t="str">
        <f t="shared" si="64"/>
        <v>CY12</v>
      </c>
      <c r="U59" s="411" t="str">
        <f t="shared" si="64"/>
        <v>CY12</v>
      </c>
      <c r="V59" s="411" t="str">
        <f t="shared" si="64"/>
        <v>CY12</v>
      </c>
    </row>
    <row r="60" spans="1:22" ht="7.5" customHeight="1">
      <c r="A60" s="21"/>
      <c r="B60" s="21"/>
      <c r="C60" s="21"/>
      <c r="D60" s="21"/>
      <c r="P60" s="433"/>
      <c r="Q60" s="433"/>
      <c r="R60" s="433"/>
      <c r="S60" s="433"/>
      <c r="T60" s="433"/>
      <c r="U60" s="433"/>
      <c r="V60" s="433"/>
    </row>
    <row r="61" spans="1:22">
      <c r="A61" s="8"/>
      <c r="B61" s="1" t="s">
        <v>216</v>
      </c>
      <c r="C61" s="9"/>
      <c r="D61" s="8"/>
      <c r="E61" s="13">
        <v>717</v>
      </c>
      <c r="F61" s="13">
        <v>2343</v>
      </c>
      <c r="G61" s="13">
        <v>724</v>
      </c>
      <c r="H61" s="412">
        <v>801</v>
      </c>
      <c r="I61" s="412">
        <v>755</v>
      </c>
      <c r="J61" s="412">
        <v>2495</v>
      </c>
      <c r="K61" s="412">
        <v>714</v>
      </c>
      <c r="L61" s="412">
        <v>683</v>
      </c>
      <c r="M61" s="412">
        <v>857</v>
      </c>
      <c r="N61" s="412">
        <v>2548</v>
      </c>
      <c r="O61" s="412">
        <v>755</v>
      </c>
      <c r="P61" s="412">
        <v>699</v>
      </c>
      <c r="Q61" s="412">
        <v>627</v>
      </c>
      <c r="R61" s="412">
        <v>2408</v>
      </c>
      <c r="S61" s="412">
        <v>587</v>
      </c>
      <c r="T61" s="412">
        <v>1054</v>
      </c>
      <c r="U61" s="412">
        <v>751</v>
      </c>
      <c r="V61" s="412">
        <v>2595</v>
      </c>
    </row>
    <row r="62" spans="1:22">
      <c r="A62" s="8"/>
      <c r="B62" s="1" t="s">
        <v>215</v>
      </c>
      <c r="C62" s="9"/>
      <c r="D62" s="8"/>
      <c r="E62" s="13"/>
      <c r="F62" s="13"/>
      <c r="G62" s="13"/>
      <c r="H62" s="412"/>
      <c r="I62" s="412"/>
      <c r="J62" s="412"/>
      <c r="K62" s="412"/>
      <c r="L62" s="412"/>
      <c r="M62" s="412"/>
      <c r="N62" s="412"/>
      <c r="O62" s="412"/>
      <c r="P62" s="412"/>
      <c r="Q62" s="412"/>
      <c r="R62" s="412"/>
      <c r="S62" s="412"/>
      <c r="T62" s="412"/>
      <c r="U62" s="412"/>
      <c r="V62" s="412"/>
    </row>
    <row r="63" spans="1:22" s="48" customFormat="1">
      <c r="A63" s="10"/>
      <c r="C63" s="2" t="s">
        <v>226</v>
      </c>
      <c r="D63" s="10"/>
      <c r="E63" s="47">
        <v>270</v>
      </c>
      <c r="F63" s="47">
        <v>933</v>
      </c>
      <c r="G63" s="47">
        <v>238</v>
      </c>
      <c r="H63" s="413">
        <v>237</v>
      </c>
      <c r="I63" s="413">
        <v>204</v>
      </c>
      <c r="J63" s="413">
        <v>863</v>
      </c>
      <c r="K63" s="413">
        <v>203</v>
      </c>
      <c r="L63" s="413">
        <v>166</v>
      </c>
      <c r="M63" s="413">
        <v>196</v>
      </c>
      <c r="N63" s="413">
        <v>783</v>
      </c>
      <c r="O63" s="413">
        <v>167</v>
      </c>
      <c r="P63" s="413">
        <v>135</v>
      </c>
      <c r="Q63" s="413">
        <v>128</v>
      </c>
      <c r="R63" s="413">
        <v>690</v>
      </c>
      <c r="S63" s="413">
        <v>138</v>
      </c>
      <c r="T63" s="413">
        <v>168</v>
      </c>
      <c r="U63" s="413">
        <v>141</v>
      </c>
      <c r="V63" s="413">
        <v>669</v>
      </c>
    </row>
    <row r="64" spans="1:22" s="48" customFormat="1">
      <c r="A64" s="10"/>
      <c r="C64" s="2" t="s">
        <v>256</v>
      </c>
      <c r="D64" s="10"/>
      <c r="E64" s="47">
        <v>43</v>
      </c>
      <c r="F64" s="47">
        <v>53</v>
      </c>
      <c r="G64" s="47">
        <v>52</v>
      </c>
      <c r="H64" s="413">
        <v>51</v>
      </c>
      <c r="I64" s="413">
        <v>55</v>
      </c>
      <c r="J64" s="413">
        <v>54</v>
      </c>
      <c r="K64" s="413">
        <f>56+2</f>
        <v>58</v>
      </c>
      <c r="L64" s="413">
        <f>53+2</f>
        <v>55</v>
      </c>
      <c r="M64" s="413">
        <f>61+3</f>
        <v>64</v>
      </c>
      <c r="N64" s="413">
        <f>73+3</f>
        <v>76</v>
      </c>
      <c r="O64" s="413">
        <f>63+3</f>
        <v>66</v>
      </c>
      <c r="P64" s="413">
        <f>59+3</f>
        <v>62</v>
      </c>
      <c r="Q64" s="413">
        <f>59+4</f>
        <v>63</v>
      </c>
      <c r="R64" s="413">
        <f>58+7</f>
        <v>65</v>
      </c>
      <c r="S64" s="413">
        <f>59+10</f>
        <v>69</v>
      </c>
      <c r="T64" s="413">
        <f>64+7</f>
        <v>71</v>
      </c>
      <c r="U64" s="413">
        <f>56+6</f>
        <v>62</v>
      </c>
      <c r="V64" s="413">
        <f>53+7</f>
        <v>60</v>
      </c>
    </row>
    <row r="65" spans="1:23" s="48" customFormat="1">
      <c r="A65" s="10"/>
      <c r="C65" s="2" t="s">
        <v>224</v>
      </c>
      <c r="D65" s="10"/>
      <c r="E65" s="47">
        <v>25</v>
      </c>
      <c r="F65" s="47">
        <v>165</v>
      </c>
      <c r="G65" s="47">
        <v>28</v>
      </c>
      <c r="H65" s="413">
        <v>36</v>
      </c>
      <c r="I65" s="413">
        <v>74</v>
      </c>
      <c r="J65" s="413">
        <v>107</v>
      </c>
      <c r="K65" s="413">
        <v>29</v>
      </c>
      <c r="L65" s="413">
        <v>52</v>
      </c>
      <c r="M65" s="413">
        <v>53</v>
      </c>
      <c r="N65" s="413">
        <v>153</v>
      </c>
      <c r="O65" s="413">
        <v>15</v>
      </c>
      <c r="P65" s="413">
        <v>12</v>
      </c>
      <c r="Q65" s="413">
        <v>14</v>
      </c>
      <c r="R65" s="413">
        <v>119</v>
      </c>
      <c r="S65" s="413">
        <v>10</v>
      </c>
      <c r="T65" s="413">
        <v>54</v>
      </c>
      <c r="U65" s="413">
        <v>41</v>
      </c>
      <c r="V65" s="413">
        <v>115</v>
      </c>
    </row>
    <row r="66" spans="1:23" s="48" customFormat="1">
      <c r="A66" s="10"/>
      <c r="C66" s="2" t="s">
        <v>225</v>
      </c>
      <c r="D66" s="10"/>
      <c r="E66" s="47">
        <v>14</v>
      </c>
      <c r="F66" s="47">
        <v>75</v>
      </c>
      <c r="G66" s="47">
        <v>28</v>
      </c>
      <c r="H66" s="413">
        <v>28</v>
      </c>
      <c r="I66" s="413">
        <v>26</v>
      </c>
      <c r="J66" s="413">
        <v>44</v>
      </c>
      <c r="K66" s="413">
        <v>17</v>
      </c>
      <c r="L66" s="413">
        <v>18</v>
      </c>
      <c r="M66" s="413">
        <v>25</v>
      </c>
      <c r="N66" s="413">
        <v>40</v>
      </c>
      <c r="O66" s="413">
        <v>7</v>
      </c>
      <c r="P66" s="413">
        <v>12</v>
      </c>
      <c r="Q66" s="413">
        <v>7</v>
      </c>
      <c r="R66" s="413">
        <v>45</v>
      </c>
      <c r="S66" s="413">
        <v>3</v>
      </c>
      <c r="T66" s="413">
        <v>18</v>
      </c>
      <c r="U66" s="413">
        <v>9</v>
      </c>
      <c r="V66" s="413">
        <v>32</v>
      </c>
    </row>
    <row r="67" spans="1:23">
      <c r="A67" s="10"/>
      <c r="B67" s="10"/>
      <c r="C67" s="6" t="s">
        <v>47</v>
      </c>
      <c r="D67" s="10"/>
      <c r="E67" s="15">
        <v>102</v>
      </c>
      <c r="F67" s="15">
        <v>176</v>
      </c>
      <c r="G67" s="15">
        <v>111</v>
      </c>
      <c r="H67" s="414">
        <v>116</v>
      </c>
      <c r="I67" s="414">
        <v>111</v>
      </c>
      <c r="J67" s="414">
        <v>253</v>
      </c>
      <c r="K67" s="414">
        <f>132-2</f>
        <v>130</v>
      </c>
      <c r="L67" s="414">
        <f>105-2</f>
        <v>103</v>
      </c>
      <c r="M67" s="414">
        <f>113-1-3</f>
        <v>109</v>
      </c>
      <c r="N67" s="414">
        <f>267-2-3</f>
        <v>262</v>
      </c>
      <c r="O67" s="414">
        <f>136-3</f>
        <v>133</v>
      </c>
      <c r="P67" s="414">
        <f>111-3</f>
        <v>108</v>
      </c>
      <c r="Q67" s="414">
        <f>128-4</f>
        <v>124</v>
      </c>
      <c r="R67" s="414">
        <f>231-7</f>
        <v>224</v>
      </c>
      <c r="S67" s="414">
        <f>120-10</f>
        <v>110</v>
      </c>
      <c r="T67" s="414">
        <f>147-7</f>
        <v>140</v>
      </c>
      <c r="U67" s="414">
        <f>126-6</f>
        <v>120</v>
      </c>
      <c r="V67" s="414">
        <f>223-7</f>
        <v>216</v>
      </c>
    </row>
    <row r="68" spans="1:23">
      <c r="A68" s="10"/>
      <c r="B68" s="10"/>
      <c r="C68" s="6" t="s">
        <v>48</v>
      </c>
      <c r="D68" s="10"/>
      <c r="E68" s="15">
        <v>91</v>
      </c>
      <c r="F68" s="15">
        <v>233</v>
      </c>
      <c r="G68" s="15">
        <v>78</v>
      </c>
      <c r="H68" s="414">
        <v>114</v>
      </c>
      <c r="I68" s="414">
        <v>131</v>
      </c>
      <c r="J68" s="414">
        <v>216</v>
      </c>
      <c r="K68" s="414">
        <v>54</v>
      </c>
      <c r="L68" s="414">
        <v>123</v>
      </c>
      <c r="M68" s="414">
        <f>109-1</f>
        <v>108</v>
      </c>
      <c r="N68" s="414">
        <f>224-1</f>
        <v>223</v>
      </c>
      <c r="O68" s="414">
        <f>63-4</f>
        <v>59</v>
      </c>
      <c r="P68" s="414">
        <v>92</v>
      </c>
      <c r="Q68" s="414">
        <v>113</v>
      </c>
      <c r="R68" s="414">
        <v>279</v>
      </c>
      <c r="S68" s="414">
        <v>77</v>
      </c>
      <c r="T68" s="414">
        <v>135</v>
      </c>
      <c r="U68" s="414">
        <v>129</v>
      </c>
      <c r="V68" s="414">
        <v>230</v>
      </c>
    </row>
    <row r="69" spans="1:23" ht="16.5">
      <c r="A69" s="10"/>
      <c r="B69" s="10"/>
      <c r="C69" s="6" t="s">
        <v>49</v>
      </c>
      <c r="D69" s="10"/>
      <c r="E69" s="16">
        <v>50</v>
      </c>
      <c r="F69" s="16">
        <v>64</v>
      </c>
      <c r="G69" s="16">
        <v>70</v>
      </c>
      <c r="H69" s="415">
        <v>63</v>
      </c>
      <c r="I69" s="415">
        <v>79</v>
      </c>
      <c r="J69" s="415">
        <v>74</v>
      </c>
      <c r="K69" s="415">
        <v>58</v>
      </c>
      <c r="L69" s="415">
        <v>65</v>
      </c>
      <c r="M69" s="415">
        <f>96+2</f>
        <v>98</v>
      </c>
      <c r="N69" s="415">
        <f>107+3</f>
        <v>110</v>
      </c>
      <c r="O69" s="415">
        <f>86+4</f>
        <v>90</v>
      </c>
      <c r="P69" s="415">
        <v>113</v>
      </c>
      <c r="Q69" s="415">
        <v>93</v>
      </c>
      <c r="R69" s="415">
        <v>96</v>
      </c>
      <c r="S69" s="415">
        <v>90</v>
      </c>
      <c r="T69" s="415">
        <v>168</v>
      </c>
      <c r="U69" s="415">
        <v>95</v>
      </c>
      <c r="V69" s="415">
        <v>119</v>
      </c>
    </row>
    <row r="70" spans="1:23" ht="16.5">
      <c r="A70" s="10"/>
      <c r="B70" s="10"/>
      <c r="C70" s="10"/>
      <c r="D70" s="10" t="s">
        <v>214</v>
      </c>
      <c r="E70" s="16">
        <f t="shared" ref="E70:O70" si="65">SUM(E63:E69)</f>
        <v>595</v>
      </c>
      <c r="F70" s="16">
        <f t="shared" si="65"/>
        <v>1699</v>
      </c>
      <c r="G70" s="16">
        <f t="shared" si="65"/>
        <v>605</v>
      </c>
      <c r="H70" s="415">
        <f t="shared" si="65"/>
        <v>645</v>
      </c>
      <c r="I70" s="415">
        <f t="shared" si="65"/>
        <v>680</v>
      </c>
      <c r="J70" s="415">
        <f t="shared" si="65"/>
        <v>1611</v>
      </c>
      <c r="K70" s="415">
        <f t="shared" si="65"/>
        <v>549</v>
      </c>
      <c r="L70" s="415">
        <f>SUM(L63:L69)</f>
        <v>582</v>
      </c>
      <c r="M70" s="415">
        <f t="shared" si="65"/>
        <v>653</v>
      </c>
      <c r="N70" s="415">
        <f t="shared" si="65"/>
        <v>1647</v>
      </c>
      <c r="O70" s="415">
        <f t="shared" si="65"/>
        <v>537</v>
      </c>
      <c r="P70" s="415">
        <f t="shared" ref="P70:Q70" si="66">SUM(P63:P69)</f>
        <v>534</v>
      </c>
      <c r="Q70" s="415">
        <f t="shared" si="66"/>
        <v>542</v>
      </c>
      <c r="R70" s="415">
        <f t="shared" ref="R70:S70" si="67">SUM(R63:R69)</f>
        <v>1518</v>
      </c>
      <c r="S70" s="415">
        <f t="shared" si="67"/>
        <v>497</v>
      </c>
      <c r="T70" s="415">
        <f t="shared" ref="T70:U70" si="68">SUM(T63:T69)</f>
        <v>754</v>
      </c>
      <c r="U70" s="415">
        <f t="shared" si="68"/>
        <v>597</v>
      </c>
      <c r="V70" s="415">
        <f t="shared" ref="V70" si="69">SUM(V63:V69)</f>
        <v>1441</v>
      </c>
    </row>
    <row r="71" spans="1:23">
      <c r="A71" s="11"/>
      <c r="B71" s="25" t="s">
        <v>1</v>
      </c>
      <c r="C71" s="3"/>
      <c r="D71" s="11"/>
      <c r="E71" s="14">
        <f t="shared" ref="E71:O71" si="70">+E61-E70</f>
        <v>122</v>
      </c>
      <c r="F71" s="14">
        <f t="shared" si="70"/>
        <v>644</v>
      </c>
      <c r="G71" s="14">
        <f t="shared" si="70"/>
        <v>119</v>
      </c>
      <c r="H71" s="416">
        <f t="shared" si="70"/>
        <v>156</v>
      </c>
      <c r="I71" s="416">
        <f t="shared" si="70"/>
        <v>75</v>
      </c>
      <c r="J71" s="416">
        <f t="shared" si="70"/>
        <v>884</v>
      </c>
      <c r="K71" s="416">
        <f t="shared" si="70"/>
        <v>165</v>
      </c>
      <c r="L71" s="416">
        <f t="shared" si="70"/>
        <v>101</v>
      </c>
      <c r="M71" s="416">
        <f t="shared" si="70"/>
        <v>204</v>
      </c>
      <c r="N71" s="416">
        <f t="shared" si="70"/>
        <v>901</v>
      </c>
      <c r="O71" s="416">
        <f t="shared" si="70"/>
        <v>218</v>
      </c>
      <c r="P71" s="416">
        <f t="shared" ref="P71:U71" si="71">+P61-P70</f>
        <v>165</v>
      </c>
      <c r="Q71" s="416">
        <f t="shared" si="71"/>
        <v>85</v>
      </c>
      <c r="R71" s="416">
        <f t="shared" si="71"/>
        <v>890</v>
      </c>
      <c r="S71" s="416">
        <f t="shared" si="71"/>
        <v>90</v>
      </c>
      <c r="T71" s="416">
        <f t="shared" si="71"/>
        <v>300</v>
      </c>
      <c r="U71" s="416">
        <f t="shared" si="71"/>
        <v>154</v>
      </c>
      <c r="V71" s="416">
        <f t="shared" ref="V71" si="72">+V61-V70</f>
        <v>1154</v>
      </c>
    </row>
    <row r="72" spans="1:23" s="52" customFormat="1" ht="16.5">
      <c r="A72" s="49"/>
      <c r="B72" s="50" t="s">
        <v>251</v>
      </c>
      <c r="C72" s="49"/>
      <c r="D72" s="49"/>
      <c r="E72" s="51">
        <v>24</v>
      </c>
      <c r="F72" s="51">
        <v>18</v>
      </c>
      <c r="G72" s="51">
        <v>10</v>
      </c>
      <c r="H72" s="415">
        <v>0</v>
      </c>
      <c r="I72" s="415">
        <v>3</v>
      </c>
      <c r="J72" s="415">
        <v>-3</v>
      </c>
      <c r="K72" s="415">
        <v>0</v>
      </c>
      <c r="L72" s="415">
        <v>1</v>
      </c>
      <c r="M72" s="415">
        <v>14</v>
      </c>
      <c r="N72" s="415">
        <v>8</v>
      </c>
      <c r="O72" s="415">
        <v>2</v>
      </c>
      <c r="P72" s="415">
        <v>2</v>
      </c>
      <c r="Q72" s="415">
        <v>3</v>
      </c>
      <c r="R72" s="415">
        <v>-5</v>
      </c>
      <c r="S72" s="415">
        <v>1</v>
      </c>
      <c r="T72" s="415">
        <v>2</v>
      </c>
      <c r="U72" s="415">
        <v>1</v>
      </c>
      <c r="V72" s="415">
        <v>3</v>
      </c>
    </row>
    <row r="73" spans="1:23" s="52" customFormat="1">
      <c r="A73" s="49"/>
      <c r="B73" s="53" t="s">
        <v>52</v>
      </c>
      <c r="C73" s="54"/>
      <c r="D73" s="49"/>
      <c r="E73" s="55">
        <f>SUM(E71:E72)</f>
        <v>146</v>
      </c>
      <c r="F73" s="55">
        <f t="shared" ref="F73" si="73">SUM(F71:F72)</f>
        <v>662</v>
      </c>
      <c r="G73" s="55">
        <f t="shared" ref="G73" si="74">SUM(G71:G72)</f>
        <v>129</v>
      </c>
      <c r="H73" s="414">
        <f t="shared" ref="H73" si="75">SUM(H71:H72)</f>
        <v>156</v>
      </c>
      <c r="I73" s="414">
        <f t="shared" ref="I73" si="76">SUM(I71:I72)</f>
        <v>78</v>
      </c>
      <c r="J73" s="414">
        <f t="shared" ref="J73" si="77">SUM(J71:J72)</f>
        <v>881</v>
      </c>
      <c r="K73" s="414">
        <f t="shared" ref="K73" si="78">SUM(K71:K72)</f>
        <v>165</v>
      </c>
      <c r="L73" s="414">
        <f t="shared" ref="L73" si="79">SUM(L71:L72)</f>
        <v>102</v>
      </c>
      <c r="M73" s="414">
        <f t="shared" ref="M73" si="80">SUM(M71:M72)</f>
        <v>218</v>
      </c>
      <c r="N73" s="414">
        <f t="shared" ref="N73" si="81">SUM(N71:N72)</f>
        <v>909</v>
      </c>
      <c r="O73" s="414">
        <f t="shared" ref="O73:P73" si="82">SUM(O71:O72)</f>
        <v>220</v>
      </c>
      <c r="P73" s="414">
        <f t="shared" si="82"/>
        <v>167</v>
      </c>
      <c r="Q73" s="414">
        <f t="shared" ref="Q73:R73" si="83">SUM(Q71:Q72)</f>
        <v>88</v>
      </c>
      <c r="R73" s="414">
        <f t="shared" si="83"/>
        <v>885</v>
      </c>
      <c r="S73" s="414">
        <f t="shared" ref="S73:T73" si="84">SUM(S71:S72)</f>
        <v>91</v>
      </c>
      <c r="T73" s="414">
        <f t="shared" si="84"/>
        <v>302</v>
      </c>
      <c r="U73" s="414">
        <f t="shared" ref="U73:V73" si="85">SUM(U71:U72)</f>
        <v>155</v>
      </c>
      <c r="V73" s="414">
        <f t="shared" si="85"/>
        <v>1157</v>
      </c>
    </row>
    <row r="74" spans="1:23" s="52" customFormat="1" ht="16.5">
      <c r="A74" s="49"/>
      <c r="B74" s="50" t="s">
        <v>53</v>
      </c>
      <c r="C74" s="54"/>
      <c r="D74" s="49"/>
      <c r="E74" s="51">
        <v>54</v>
      </c>
      <c r="F74" s="51">
        <v>233</v>
      </c>
      <c r="G74" s="51">
        <v>18</v>
      </c>
      <c r="H74" s="415">
        <v>44</v>
      </c>
      <c r="I74" s="415">
        <f>31-8</f>
        <v>23</v>
      </c>
      <c r="J74" s="415">
        <v>249</v>
      </c>
      <c r="K74" s="415">
        <v>49</v>
      </c>
      <c r="L74" s="415">
        <v>30</v>
      </c>
      <c r="M74" s="415">
        <f>70</f>
        <v>70</v>
      </c>
      <c r="N74" s="415">
        <f>254</f>
        <v>254</v>
      </c>
      <c r="O74" s="415">
        <v>64</v>
      </c>
      <c r="P74" s="415">
        <v>49</v>
      </c>
      <c r="Q74" s="415">
        <v>1</v>
      </c>
      <c r="R74" s="415">
        <v>160</v>
      </c>
      <c r="S74" s="415">
        <v>24</v>
      </c>
      <c r="T74" s="415">
        <v>78</v>
      </c>
      <c r="U74" s="415">
        <v>-13</v>
      </c>
      <c r="V74" s="415">
        <v>266</v>
      </c>
    </row>
    <row r="75" spans="1:23" s="52" customFormat="1" ht="16.5">
      <c r="A75" s="56"/>
      <c r="B75" s="57" t="s">
        <v>2</v>
      </c>
      <c r="C75" s="56"/>
      <c r="D75" s="56"/>
      <c r="E75" s="58">
        <f>E73-E74</f>
        <v>92</v>
      </c>
      <c r="F75" s="58">
        <f t="shared" ref="F75" si="86">F73-F74</f>
        <v>429</v>
      </c>
      <c r="G75" s="58">
        <f t="shared" ref="G75" si="87">G73-G74</f>
        <v>111</v>
      </c>
      <c r="H75" s="417">
        <f t="shared" ref="H75" si="88">H73-H74</f>
        <v>112</v>
      </c>
      <c r="I75" s="417">
        <f t="shared" ref="I75" si="89">I73-I74</f>
        <v>55</v>
      </c>
      <c r="J75" s="417">
        <f t="shared" ref="J75" si="90">J73-J74</f>
        <v>632</v>
      </c>
      <c r="K75" s="417">
        <f t="shared" ref="K75" si="91">K73-K74</f>
        <v>116</v>
      </c>
      <c r="L75" s="417">
        <f t="shared" ref="L75" si="92">L73-L74</f>
        <v>72</v>
      </c>
      <c r="M75" s="417">
        <f t="shared" ref="M75" si="93">M73-M74</f>
        <v>148</v>
      </c>
      <c r="N75" s="417">
        <f t="shared" ref="N75" si="94">N73-N74</f>
        <v>655</v>
      </c>
      <c r="O75" s="417">
        <f t="shared" ref="O75:P75" si="95">O73-O74</f>
        <v>156</v>
      </c>
      <c r="P75" s="417">
        <f t="shared" si="95"/>
        <v>118</v>
      </c>
      <c r="Q75" s="417">
        <f t="shared" ref="Q75" si="96">Q73-Q74</f>
        <v>87</v>
      </c>
      <c r="R75" s="417">
        <f>R73-R74</f>
        <v>725</v>
      </c>
      <c r="S75" s="417">
        <f>S73-S74</f>
        <v>67</v>
      </c>
      <c r="T75" s="417">
        <f>T73-T74</f>
        <v>224</v>
      </c>
      <c r="U75" s="417">
        <f>U73-U74</f>
        <v>168</v>
      </c>
      <c r="V75" s="417">
        <f>V73-V74</f>
        <v>891</v>
      </c>
    </row>
    <row r="76" spans="1:23" ht="20.25" customHeight="1">
      <c r="A76" s="9"/>
      <c r="B76" s="25"/>
      <c r="C76" s="9"/>
      <c r="D76" s="9"/>
      <c r="E76" s="17"/>
      <c r="F76" s="17"/>
      <c r="G76" s="17"/>
      <c r="H76" s="417"/>
      <c r="I76" s="535"/>
      <c r="J76" s="417"/>
      <c r="K76" s="417"/>
      <c r="L76" s="417"/>
      <c r="M76" s="540"/>
      <c r="N76" s="417"/>
      <c r="O76" s="417"/>
      <c r="P76" s="417"/>
      <c r="Q76" s="540"/>
      <c r="R76" s="540"/>
      <c r="S76" s="540"/>
      <c r="T76" s="540"/>
      <c r="U76" s="540"/>
      <c r="V76" s="540"/>
    </row>
    <row r="77" spans="1:23">
      <c r="A77" s="32"/>
      <c r="B77" s="29" t="s">
        <v>160</v>
      </c>
      <c r="C77" s="29"/>
      <c r="D77" s="29"/>
      <c r="E77" s="33"/>
      <c r="F77" s="33"/>
      <c r="G77" s="33"/>
      <c r="H77" s="418"/>
      <c r="I77" s="418"/>
      <c r="J77" s="418"/>
      <c r="K77" s="418"/>
      <c r="L77" s="418"/>
      <c r="M77" s="418"/>
      <c r="N77" s="418"/>
      <c r="O77" s="418"/>
      <c r="P77" s="418"/>
      <c r="Q77" s="418"/>
      <c r="R77" s="418"/>
      <c r="S77" s="418"/>
      <c r="T77" s="418"/>
      <c r="U77" s="418"/>
      <c r="V77" s="418"/>
    </row>
    <row r="78" spans="1:23">
      <c r="A78" s="32"/>
      <c r="B78" s="29"/>
      <c r="C78" s="28" t="s">
        <v>34</v>
      </c>
      <c r="D78" s="29"/>
      <c r="E78" s="35">
        <v>7.0000000000000007E-2</v>
      </c>
      <c r="F78" s="35">
        <v>0.32</v>
      </c>
      <c r="G78" s="35">
        <v>0.08</v>
      </c>
      <c r="H78" s="419">
        <v>0.09</v>
      </c>
      <c r="I78" s="419">
        <v>0.04</v>
      </c>
      <c r="J78" s="419">
        <v>0.5</v>
      </c>
      <c r="K78" s="419">
        <v>0.09</v>
      </c>
      <c r="L78" s="419">
        <v>0.06</v>
      </c>
      <c r="M78" s="419">
        <v>0.12</v>
      </c>
      <c r="N78" s="419">
        <v>0.54</v>
      </c>
      <c r="O78" s="419">
        <v>0.13</v>
      </c>
      <c r="P78" s="420">
        <v>0.1</v>
      </c>
      <c r="Q78" s="420">
        <v>7.0000000000000007E-2</v>
      </c>
      <c r="R78" s="420">
        <v>0.63</v>
      </c>
      <c r="S78" s="420">
        <v>0.06</v>
      </c>
      <c r="T78" s="420">
        <v>0.2</v>
      </c>
      <c r="U78" s="420">
        <v>0.15</v>
      </c>
      <c r="V78" s="420">
        <v>0.78</v>
      </c>
      <c r="W78" s="521"/>
    </row>
    <row r="79" spans="1:23">
      <c r="A79" s="32"/>
      <c r="B79" s="29"/>
      <c r="C79" s="28" t="s">
        <v>35</v>
      </c>
      <c r="D79" s="29"/>
      <c r="E79" s="35">
        <v>7.0000000000000007E-2</v>
      </c>
      <c r="F79" s="35">
        <v>0.31</v>
      </c>
      <c r="G79" s="35">
        <v>0.08</v>
      </c>
      <c r="H79" s="419">
        <v>0.08</v>
      </c>
      <c r="I79" s="419">
        <v>0.04</v>
      </c>
      <c r="J79" s="419">
        <v>0.49</v>
      </c>
      <c r="K79" s="419">
        <v>0.09</v>
      </c>
      <c r="L79" s="419">
        <v>0.06</v>
      </c>
      <c r="M79" s="419">
        <v>0.12</v>
      </c>
      <c r="N79" s="419">
        <v>0.53</v>
      </c>
      <c r="O79" s="419">
        <v>0.13</v>
      </c>
      <c r="P79" s="420">
        <v>0.1</v>
      </c>
      <c r="Q79" s="420">
        <v>7.0000000000000007E-2</v>
      </c>
      <c r="R79" s="420">
        <v>0.62</v>
      </c>
      <c r="S79" s="420">
        <v>0.06</v>
      </c>
      <c r="T79" s="420">
        <v>0.2</v>
      </c>
      <c r="U79" s="420">
        <v>0.15</v>
      </c>
      <c r="V79" s="420">
        <v>0.78</v>
      </c>
      <c r="W79" s="521"/>
    </row>
    <row r="80" spans="1:23">
      <c r="A80" s="32"/>
      <c r="B80" s="29"/>
      <c r="C80" s="18"/>
      <c r="D80" s="29"/>
      <c r="E80" s="34"/>
      <c r="F80" s="34"/>
      <c r="G80" s="405"/>
      <c r="H80" s="419"/>
      <c r="I80" s="425"/>
      <c r="J80" s="425"/>
      <c r="K80" s="425"/>
      <c r="L80" s="419"/>
      <c r="M80" s="425"/>
      <c r="N80" s="425"/>
      <c r="O80" s="425"/>
      <c r="P80" s="420"/>
      <c r="Q80" s="420"/>
      <c r="R80" s="420"/>
      <c r="S80" s="420"/>
      <c r="T80" s="420"/>
      <c r="U80" s="420"/>
      <c r="V80" s="420"/>
    </row>
    <row r="81" spans="1:22">
      <c r="A81" s="20" t="s">
        <v>158</v>
      </c>
      <c r="B81" s="29"/>
      <c r="C81" s="18"/>
      <c r="D81" s="29"/>
      <c r="E81" s="34"/>
      <c r="F81" s="34"/>
      <c r="G81" s="18"/>
      <c r="H81" s="425"/>
      <c r="I81" s="425"/>
      <c r="J81" s="425"/>
      <c r="K81" s="425"/>
      <c r="L81" s="425"/>
      <c r="M81" s="425"/>
      <c r="N81" s="425"/>
      <c r="O81" s="425"/>
      <c r="P81" s="426"/>
      <c r="Q81" s="426"/>
      <c r="R81" s="426"/>
      <c r="S81" s="426"/>
      <c r="T81" s="426"/>
      <c r="U81" s="426"/>
      <c r="V81" s="426"/>
    </row>
    <row r="82" spans="1:22">
      <c r="A82" s="32"/>
      <c r="B82" s="29"/>
      <c r="C82" s="18"/>
      <c r="D82" s="29"/>
      <c r="E82" s="19" t="s">
        <v>228</v>
      </c>
      <c r="F82" s="19" t="str">
        <f t="shared" ref="F82:P82" si="97">F58</f>
        <v>Q4</v>
      </c>
      <c r="G82" s="19" t="str">
        <f t="shared" si="97"/>
        <v>Q1</v>
      </c>
      <c r="H82" s="410" t="str">
        <f t="shared" si="97"/>
        <v>Q2</v>
      </c>
      <c r="I82" s="410" t="str">
        <f t="shared" si="97"/>
        <v>Q3</v>
      </c>
      <c r="J82" s="410" t="str">
        <f t="shared" si="97"/>
        <v>Q4</v>
      </c>
      <c r="K82" s="410" t="str">
        <f t="shared" si="97"/>
        <v>Q1</v>
      </c>
      <c r="L82" s="410" t="str">
        <f t="shared" si="97"/>
        <v>Q2</v>
      </c>
      <c r="M82" s="410" t="str">
        <f t="shared" si="97"/>
        <v>Q3</v>
      </c>
      <c r="N82" s="410" t="str">
        <f t="shared" si="97"/>
        <v>Q4</v>
      </c>
      <c r="O82" s="410" t="str">
        <f t="shared" si="97"/>
        <v>Q1</v>
      </c>
      <c r="P82" s="410" t="str">
        <f t="shared" si="97"/>
        <v>Q2</v>
      </c>
      <c r="Q82" s="410" t="str">
        <f t="shared" ref="Q82:R82" si="98">Q58</f>
        <v>Q3</v>
      </c>
      <c r="R82" s="410" t="str">
        <f t="shared" si="98"/>
        <v>Q4</v>
      </c>
      <c r="S82" s="410" t="str">
        <f t="shared" ref="S82:T82" si="99">S58</f>
        <v>Q1</v>
      </c>
      <c r="T82" s="410" t="str">
        <f t="shared" si="99"/>
        <v>Q2</v>
      </c>
      <c r="U82" s="410" t="str">
        <f t="shared" ref="U82:V82" si="100">U58</f>
        <v>Q3</v>
      </c>
      <c r="V82" s="410" t="str">
        <f t="shared" si="100"/>
        <v>Q4</v>
      </c>
    </row>
    <row r="83" spans="1:22">
      <c r="A83" s="32"/>
      <c r="B83" s="29"/>
      <c r="C83" s="18"/>
      <c r="D83" s="29"/>
      <c r="E83" s="45" t="str">
        <f>E59</f>
        <v>CY08</v>
      </c>
      <c r="F83" s="45" t="str">
        <f t="shared" ref="F83:P83" si="101">F59</f>
        <v>CY08</v>
      </c>
      <c r="G83" s="45" t="str">
        <f t="shared" si="101"/>
        <v>CY09</v>
      </c>
      <c r="H83" s="411" t="str">
        <f t="shared" si="101"/>
        <v>CY09</v>
      </c>
      <c r="I83" s="411" t="str">
        <f t="shared" si="101"/>
        <v>CY09</v>
      </c>
      <c r="J83" s="411" t="str">
        <f t="shared" si="101"/>
        <v>CY09</v>
      </c>
      <c r="K83" s="411" t="str">
        <f t="shared" si="101"/>
        <v>CY10</v>
      </c>
      <c r="L83" s="411" t="str">
        <f t="shared" si="101"/>
        <v>CY10</v>
      </c>
      <c r="M83" s="411" t="str">
        <f t="shared" si="101"/>
        <v>CY10</v>
      </c>
      <c r="N83" s="411" t="str">
        <f t="shared" si="101"/>
        <v>CY10</v>
      </c>
      <c r="O83" s="411" t="str">
        <f t="shared" si="101"/>
        <v>CY11</v>
      </c>
      <c r="P83" s="411" t="str">
        <f t="shared" si="101"/>
        <v>CY11</v>
      </c>
      <c r="Q83" s="411" t="str">
        <f t="shared" ref="Q83:R83" si="102">Q59</f>
        <v>CY11</v>
      </c>
      <c r="R83" s="411" t="str">
        <f t="shared" si="102"/>
        <v>CY11</v>
      </c>
      <c r="S83" s="411" t="str">
        <f t="shared" ref="S83:T83" si="103">S59</f>
        <v>CY12</v>
      </c>
      <c r="T83" s="411" t="str">
        <f t="shared" si="103"/>
        <v>CY12</v>
      </c>
      <c r="U83" s="411" t="str">
        <f t="shared" ref="U83:V83" si="104">U59</f>
        <v>CY12</v>
      </c>
      <c r="V83" s="411" t="str">
        <f t="shared" si="104"/>
        <v>CY12</v>
      </c>
    </row>
    <row r="84" spans="1:22" ht="7.5" customHeight="1">
      <c r="A84" s="32"/>
      <c r="B84" s="29"/>
      <c r="C84" s="18"/>
      <c r="D84" s="29"/>
      <c r="E84" s="34"/>
      <c r="F84" s="34"/>
      <c r="G84" s="18"/>
      <c r="H84" s="425"/>
      <c r="I84" s="425"/>
      <c r="J84" s="425"/>
      <c r="K84" s="425"/>
      <c r="L84" s="425"/>
      <c r="M84" s="425"/>
      <c r="N84" s="425"/>
      <c r="O84" s="425"/>
      <c r="P84" s="427"/>
      <c r="Q84" s="427"/>
      <c r="R84" s="427"/>
      <c r="S84" s="427"/>
      <c r="T84" s="427"/>
      <c r="U84" s="427"/>
      <c r="V84" s="427"/>
    </row>
    <row r="85" spans="1:22" ht="15.75" customHeight="1">
      <c r="A85" s="32"/>
      <c r="B85" s="1" t="s">
        <v>215</v>
      </c>
      <c r="C85" s="18"/>
      <c r="D85" s="29"/>
      <c r="E85" s="34"/>
      <c r="F85" s="34"/>
      <c r="G85" s="18"/>
      <c r="H85" s="425"/>
      <c r="I85" s="425"/>
      <c r="J85" s="425"/>
      <c r="K85" s="425"/>
      <c r="L85" s="425"/>
      <c r="M85" s="425"/>
      <c r="N85" s="425"/>
      <c r="O85" s="425"/>
      <c r="P85" s="427"/>
      <c r="Q85" s="427"/>
      <c r="R85" s="427"/>
      <c r="S85" s="427"/>
      <c r="T85" s="427"/>
      <c r="U85" s="427"/>
      <c r="V85" s="427"/>
    </row>
    <row r="86" spans="1:22">
      <c r="A86" s="7"/>
      <c r="B86" s="2"/>
      <c r="C86" s="2" t="s">
        <v>226</v>
      </c>
      <c r="D86" s="7"/>
      <c r="E86" s="39">
        <f>E63/E$61</f>
        <v>0.37656903765690375</v>
      </c>
      <c r="F86" s="39">
        <f t="shared" ref="F86:O86" si="105">F63/F$61</f>
        <v>0.39820742637644047</v>
      </c>
      <c r="G86" s="39">
        <f t="shared" si="105"/>
        <v>0.32872928176795579</v>
      </c>
      <c r="H86" s="428">
        <f t="shared" si="105"/>
        <v>0.29588014981273408</v>
      </c>
      <c r="I86" s="428">
        <f t="shared" si="105"/>
        <v>0.27019867549668874</v>
      </c>
      <c r="J86" s="428">
        <f t="shared" si="105"/>
        <v>0.34589178356713429</v>
      </c>
      <c r="K86" s="428">
        <f t="shared" si="105"/>
        <v>0.28431372549019607</v>
      </c>
      <c r="L86" s="428">
        <f t="shared" si="105"/>
        <v>0.24304538799414349</v>
      </c>
      <c r="M86" s="428">
        <f t="shared" si="105"/>
        <v>0.22870478413068845</v>
      </c>
      <c r="N86" s="428">
        <f t="shared" si="105"/>
        <v>0.30729984301412872</v>
      </c>
      <c r="O86" s="428">
        <f t="shared" si="105"/>
        <v>0.22119205298013245</v>
      </c>
      <c r="P86" s="428">
        <f t="shared" ref="P86:P90" si="106">P63/P$61</f>
        <v>0.19313304721030042</v>
      </c>
      <c r="Q86" s="428">
        <f t="shared" ref="Q86:R98" si="107">Q63/Q$61</f>
        <v>0.20414673046251994</v>
      </c>
      <c r="R86" s="428">
        <f t="shared" si="107"/>
        <v>0.28654485049833889</v>
      </c>
      <c r="S86" s="428">
        <f t="shared" ref="S86:T98" si="108">S63/S$61</f>
        <v>0.23509369676320271</v>
      </c>
      <c r="T86" s="428">
        <f t="shared" si="108"/>
        <v>0.15939278937381404</v>
      </c>
      <c r="U86" s="428">
        <f t="shared" ref="U86:V98" si="109">U63/U$61</f>
        <v>0.1877496671105193</v>
      </c>
      <c r="V86" s="428">
        <f t="shared" si="109"/>
        <v>0.25780346820809247</v>
      </c>
    </row>
    <row r="87" spans="1:22">
      <c r="A87" s="7"/>
      <c r="B87" s="2"/>
      <c r="C87" s="2" t="s">
        <v>256</v>
      </c>
      <c r="D87" s="7"/>
      <c r="E87" s="39">
        <f t="shared" ref="E87:O87" si="110">E64/E$61</f>
        <v>5.9972105997210597E-2</v>
      </c>
      <c r="F87" s="39">
        <f t="shared" si="110"/>
        <v>2.2620571916346564E-2</v>
      </c>
      <c r="G87" s="39">
        <f t="shared" si="110"/>
        <v>7.18232044198895E-2</v>
      </c>
      <c r="H87" s="428">
        <f t="shared" si="110"/>
        <v>6.3670411985018729E-2</v>
      </c>
      <c r="I87" s="428">
        <f t="shared" si="110"/>
        <v>7.2847682119205295E-2</v>
      </c>
      <c r="J87" s="428">
        <f t="shared" si="110"/>
        <v>2.1643286573146292E-2</v>
      </c>
      <c r="K87" s="428">
        <f t="shared" si="110"/>
        <v>8.1232492997198882E-2</v>
      </c>
      <c r="L87" s="428">
        <f t="shared" si="110"/>
        <v>8.0527086383601759E-2</v>
      </c>
      <c r="M87" s="428">
        <f t="shared" si="110"/>
        <v>7.4679113185530915E-2</v>
      </c>
      <c r="N87" s="428">
        <f t="shared" si="110"/>
        <v>2.9827315541601257E-2</v>
      </c>
      <c r="O87" s="428">
        <f t="shared" si="110"/>
        <v>8.7417218543046363E-2</v>
      </c>
      <c r="P87" s="428">
        <f t="shared" si="106"/>
        <v>8.869814020028613E-2</v>
      </c>
      <c r="Q87" s="428">
        <f t="shared" si="107"/>
        <v>0.10047846889952153</v>
      </c>
      <c r="R87" s="428">
        <f t="shared" si="107"/>
        <v>2.6993355481727575E-2</v>
      </c>
      <c r="S87" s="428">
        <f t="shared" si="108"/>
        <v>0.11754684838160136</v>
      </c>
      <c r="T87" s="428">
        <f t="shared" si="108"/>
        <v>6.7362428842504748E-2</v>
      </c>
      <c r="U87" s="428">
        <f t="shared" si="109"/>
        <v>8.2556591211717711E-2</v>
      </c>
      <c r="V87" s="428">
        <f t="shared" si="109"/>
        <v>2.3121387283236993E-2</v>
      </c>
    </row>
    <row r="88" spans="1:22">
      <c r="A88" s="7"/>
      <c r="B88" s="2"/>
      <c r="C88" s="2" t="s">
        <v>224</v>
      </c>
      <c r="D88" s="7"/>
      <c r="E88" s="39">
        <f t="shared" ref="E88:O88" si="111">E65/E$61</f>
        <v>3.4867503486750349E-2</v>
      </c>
      <c r="F88" s="39">
        <f t="shared" si="111"/>
        <v>7.0422535211267609E-2</v>
      </c>
      <c r="G88" s="39">
        <f t="shared" si="111"/>
        <v>3.8674033149171269E-2</v>
      </c>
      <c r="H88" s="428">
        <f t="shared" si="111"/>
        <v>4.49438202247191E-2</v>
      </c>
      <c r="I88" s="428">
        <f t="shared" si="111"/>
        <v>9.8013245033112581E-2</v>
      </c>
      <c r="J88" s="428">
        <f t="shared" si="111"/>
        <v>4.2885771543086169E-2</v>
      </c>
      <c r="K88" s="428">
        <f t="shared" si="111"/>
        <v>4.0616246498599441E-2</v>
      </c>
      <c r="L88" s="428">
        <f t="shared" si="111"/>
        <v>7.6134699853587118E-2</v>
      </c>
      <c r="M88" s="428">
        <f t="shared" si="111"/>
        <v>6.1843640606767794E-2</v>
      </c>
      <c r="N88" s="428">
        <f t="shared" si="111"/>
        <v>6.0047095761381473E-2</v>
      </c>
      <c r="O88" s="428">
        <f t="shared" si="111"/>
        <v>1.9867549668874173E-2</v>
      </c>
      <c r="P88" s="428">
        <f t="shared" si="106"/>
        <v>1.7167381974248927E-2</v>
      </c>
      <c r="Q88" s="428">
        <f t="shared" si="107"/>
        <v>2.2328548644338118E-2</v>
      </c>
      <c r="R88" s="428">
        <f t="shared" si="107"/>
        <v>4.9418604651162788E-2</v>
      </c>
      <c r="S88" s="428">
        <f t="shared" si="108"/>
        <v>1.7035775127768313E-2</v>
      </c>
      <c r="T88" s="428">
        <f t="shared" si="108"/>
        <v>5.1233396584440226E-2</v>
      </c>
      <c r="U88" s="428">
        <f t="shared" si="109"/>
        <v>5.459387483355526E-2</v>
      </c>
      <c r="V88" s="428">
        <f t="shared" si="109"/>
        <v>4.4315992292870907E-2</v>
      </c>
    </row>
    <row r="89" spans="1:22">
      <c r="A89" s="7"/>
      <c r="B89" s="2"/>
      <c r="C89" s="2" t="s">
        <v>225</v>
      </c>
      <c r="D89" s="7"/>
      <c r="E89" s="39">
        <f t="shared" ref="E89:O89" si="112">E66/E$61</f>
        <v>1.9525801952580194E-2</v>
      </c>
      <c r="F89" s="39">
        <f t="shared" si="112"/>
        <v>3.2010243277848911E-2</v>
      </c>
      <c r="G89" s="39">
        <f t="shared" si="112"/>
        <v>3.8674033149171269E-2</v>
      </c>
      <c r="H89" s="428">
        <f t="shared" si="112"/>
        <v>3.495630461922597E-2</v>
      </c>
      <c r="I89" s="428">
        <f t="shared" si="112"/>
        <v>3.443708609271523E-2</v>
      </c>
      <c r="J89" s="428">
        <f t="shared" si="112"/>
        <v>1.7635270541082163E-2</v>
      </c>
      <c r="K89" s="428">
        <f t="shared" si="112"/>
        <v>2.3809523809523808E-2</v>
      </c>
      <c r="L89" s="428">
        <f t="shared" si="112"/>
        <v>2.6354319180087848E-2</v>
      </c>
      <c r="M89" s="428">
        <f t="shared" si="112"/>
        <v>2.9171528588098017E-2</v>
      </c>
      <c r="N89" s="428">
        <f t="shared" si="112"/>
        <v>1.5698587127158554E-2</v>
      </c>
      <c r="O89" s="428">
        <f t="shared" si="112"/>
        <v>9.2715231788079479E-3</v>
      </c>
      <c r="P89" s="428">
        <f t="shared" si="106"/>
        <v>1.7167381974248927E-2</v>
      </c>
      <c r="Q89" s="428">
        <f t="shared" si="107"/>
        <v>1.1164274322169059E-2</v>
      </c>
      <c r="R89" s="428">
        <f t="shared" si="107"/>
        <v>1.8687707641196014E-2</v>
      </c>
      <c r="S89" s="428">
        <f t="shared" si="108"/>
        <v>5.1107325383304937E-3</v>
      </c>
      <c r="T89" s="428">
        <f t="shared" si="108"/>
        <v>1.7077798861480076E-2</v>
      </c>
      <c r="U89" s="428">
        <f t="shared" si="109"/>
        <v>1.1984021304926764E-2</v>
      </c>
      <c r="V89" s="428">
        <f t="shared" si="109"/>
        <v>1.233140655105973E-2</v>
      </c>
    </row>
    <row r="90" spans="1:22">
      <c r="A90" s="10"/>
      <c r="B90" s="10"/>
      <c r="C90" s="6" t="s">
        <v>47</v>
      </c>
      <c r="D90" s="10"/>
      <c r="E90" s="39">
        <f t="shared" ref="E90:O90" si="113">E67/E$61</f>
        <v>0.14225941422594143</v>
      </c>
      <c r="F90" s="39">
        <f t="shared" si="113"/>
        <v>7.5117370892018781E-2</v>
      </c>
      <c r="G90" s="39">
        <f t="shared" si="113"/>
        <v>0.15331491712707182</v>
      </c>
      <c r="H90" s="428">
        <f t="shared" si="113"/>
        <v>0.14481897627965043</v>
      </c>
      <c r="I90" s="428">
        <f t="shared" si="113"/>
        <v>0.14701986754966886</v>
      </c>
      <c r="J90" s="428">
        <f t="shared" si="113"/>
        <v>0.10140280561122245</v>
      </c>
      <c r="K90" s="428">
        <f t="shared" si="113"/>
        <v>0.18207282913165265</v>
      </c>
      <c r="L90" s="428">
        <f t="shared" si="113"/>
        <v>0.15080527086383602</v>
      </c>
      <c r="M90" s="428">
        <f t="shared" si="113"/>
        <v>0.12718786464410736</v>
      </c>
      <c r="N90" s="428">
        <f t="shared" si="113"/>
        <v>0.10282574568288853</v>
      </c>
      <c r="O90" s="428">
        <f t="shared" si="113"/>
        <v>0.176158940397351</v>
      </c>
      <c r="P90" s="428">
        <f t="shared" si="106"/>
        <v>0.15450643776824036</v>
      </c>
      <c r="Q90" s="428">
        <f t="shared" si="107"/>
        <v>0.19776714513556617</v>
      </c>
      <c r="R90" s="428">
        <f t="shared" si="107"/>
        <v>9.3023255813953487E-2</v>
      </c>
      <c r="S90" s="428">
        <f t="shared" si="108"/>
        <v>0.18739352640545145</v>
      </c>
      <c r="T90" s="428">
        <f t="shared" si="108"/>
        <v>0.13282732447817835</v>
      </c>
      <c r="U90" s="428">
        <f t="shared" si="109"/>
        <v>0.15978695073235685</v>
      </c>
      <c r="V90" s="428">
        <f t="shared" si="109"/>
        <v>8.3236994219653179E-2</v>
      </c>
    </row>
    <row r="91" spans="1:22">
      <c r="A91" s="10"/>
      <c r="B91" s="10"/>
      <c r="C91" s="6" t="s">
        <v>48</v>
      </c>
      <c r="D91" s="10"/>
      <c r="E91" s="39">
        <f t="shared" ref="E91:O91" si="114">E68/E$61</f>
        <v>0.12691771269177127</v>
      </c>
      <c r="F91" s="39">
        <f t="shared" si="114"/>
        <v>9.9445155783183956E-2</v>
      </c>
      <c r="G91" s="39">
        <f t="shared" si="114"/>
        <v>0.10773480662983426</v>
      </c>
      <c r="H91" s="428">
        <f t="shared" si="114"/>
        <v>0.14232209737827714</v>
      </c>
      <c r="I91" s="428">
        <f t="shared" si="114"/>
        <v>0.17350993377483442</v>
      </c>
      <c r="J91" s="428">
        <f t="shared" si="114"/>
        <v>8.6573146292585168E-2</v>
      </c>
      <c r="K91" s="428">
        <f t="shared" si="114"/>
        <v>7.5630252100840331E-2</v>
      </c>
      <c r="L91" s="428">
        <f t="shared" si="114"/>
        <v>0.1800878477306003</v>
      </c>
      <c r="M91" s="428">
        <f t="shared" si="114"/>
        <v>0.12602100350058343</v>
      </c>
      <c r="N91" s="428">
        <f t="shared" si="114"/>
        <v>8.7519623233908952E-2</v>
      </c>
      <c r="O91" s="428">
        <f t="shared" si="114"/>
        <v>7.8145695364238404E-2</v>
      </c>
      <c r="P91" s="428">
        <f t="shared" ref="P91" si="115">P68/P$61</f>
        <v>0.13161659513590845</v>
      </c>
      <c r="Q91" s="428">
        <f t="shared" si="107"/>
        <v>0.18022328548644337</v>
      </c>
      <c r="R91" s="428">
        <f t="shared" si="107"/>
        <v>0.11586378737541528</v>
      </c>
      <c r="S91" s="428">
        <f t="shared" si="108"/>
        <v>0.131175468483816</v>
      </c>
      <c r="T91" s="428">
        <f t="shared" si="108"/>
        <v>0.12808349146110057</v>
      </c>
      <c r="U91" s="428">
        <f t="shared" si="109"/>
        <v>0.17177097203728361</v>
      </c>
      <c r="V91" s="428">
        <f t="shared" si="109"/>
        <v>8.8631984585741813E-2</v>
      </c>
    </row>
    <row r="92" spans="1:22" ht="16.5">
      <c r="A92" s="10"/>
      <c r="B92" s="10"/>
      <c r="C92" s="6" t="s">
        <v>49</v>
      </c>
      <c r="D92" s="10"/>
      <c r="E92" s="40">
        <f t="shared" ref="E92:O92" si="116">E69/E$61</f>
        <v>6.9735006973500699E-2</v>
      </c>
      <c r="F92" s="40">
        <f t="shared" si="116"/>
        <v>2.7315407597097739E-2</v>
      </c>
      <c r="G92" s="40">
        <f t="shared" si="116"/>
        <v>9.668508287292818E-2</v>
      </c>
      <c r="H92" s="430">
        <f t="shared" si="116"/>
        <v>7.8651685393258425E-2</v>
      </c>
      <c r="I92" s="430">
        <f t="shared" si="116"/>
        <v>0.10463576158940398</v>
      </c>
      <c r="J92" s="430">
        <f t="shared" si="116"/>
        <v>2.965931863727455E-2</v>
      </c>
      <c r="K92" s="430">
        <f t="shared" si="116"/>
        <v>8.1232492997198882E-2</v>
      </c>
      <c r="L92" s="430">
        <f t="shared" si="116"/>
        <v>9.5168374816983897E-2</v>
      </c>
      <c r="M92" s="430">
        <f t="shared" si="116"/>
        <v>0.11435239206534423</v>
      </c>
      <c r="N92" s="430">
        <f t="shared" si="116"/>
        <v>4.3171114599686027E-2</v>
      </c>
      <c r="O92" s="430">
        <f t="shared" si="116"/>
        <v>0.11920529801324503</v>
      </c>
      <c r="P92" s="430">
        <f t="shared" ref="P92" si="117">P69/P$61</f>
        <v>0.16165951359084407</v>
      </c>
      <c r="Q92" s="430">
        <f t="shared" si="107"/>
        <v>0.14832535885167464</v>
      </c>
      <c r="R92" s="430">
        <f t="shared" si="107"/>
        <v>3.9867109634551492E-2</v>
      </c>
      <c r="S92" s="430">
        <f t="shared" si="108"/>
        <v>0.15332197614991483</v>
      </c>
      <c r="T92" s="430">
        <f t="shared" si="108"/>
        <v>0.15939278937381404</v>
      </c>
      <c r="U92" s="430">
        <f t="shared" si="109"/>
        <v>0.12649800266311584</v>
      </c>
      <c r="V92" s="430">
        <f t="shared" si="109"/>
        <v>4.5857418111753374E-2</v>
      </c>
    </row>
    <row r="93" spans="1:22" ht="16.5">
      <c r="A93" s="10"/>
      <c r="B93" s="10"/>
      <c r="C93" s="10"/>
      <c r="D93" s="10" t="s">
        <v>214</v>
      </c>
      <c r="E93" s="40">
        <f t="shared" ref="E93:O93" si="118">E70/E$61</f>
        <v>0.8298465829846583</v>
      </c>
      <c r="F93" s="40">
        <f t="shared" si="118"/>
        <v>0.72513871105420402</v>
      </c>
      <c r="G93" s="40">
        <f t="shared" si="118"/>
        <v>0.83563535911602205</v>
      </c>
      <c r="H93" s="430">
        <f t="shared" si="118"/>
        <v>0.80524344569288386</v>
      </c>
      <c r="I93" s="430">
        <f t="shared" si="118"/>
        <v>0.90066225165562919</v>
      </c>
      <c r="J93" s="430">
        <f t="shared" si="118"/>
        <v>0.64569138276553106</v>
      </c>
      <c r="K93" s="430">
        <f t="shared" si="118"/>
        <v>0.76890756302521013</v>
      </c>
      <c r="L93" s="430">
        <f t="shared" si="118"/>
        <v>0.85212298682284038</v>
      </c>
      <c r="M93" s="430">
        <f t="shared" si="118"/>
        <v>0.76196032672112024</v>
      </c>
      <c r="N93" s="430">
        <f t="shared" si="118"/>
        <v>0.64638932496075352</v>
      </c>
      <c r="O93" s="430">
        <f t="shared" si="118"/>
        <v>0.71125827814569531</v>
      </c>
      <c r="P93" s="430">
        <f t="shared" ref="P93" si="119">P70/P$61</f>
        <v>0.76394849785407726</v>
      </c>
      <c r="Q93" s="430">
        <f t="shared" si="107"/>
        <v>0.86443381180223289</v>
      </c>
      <c r="R93" s="430">
        <f t="shared" si="107"/>
        <v>0.63039867109634551</v>
      </c>
      <c r="S93" s="430">
        <f t="shared" si="108"/>
        <v>0.84667802385008517</v>
      </c>
      <c r="T93" s="430">
        <f t="shared" si="108"/>
        <v>0.71537001897533203</v>
      </c>
      <c r="U93" s="430">
        <f t="shared" si="109"/>
        <v>0.79494007989347537</v>
      </c>
      <c r="V93" s="430">
        <f t="shared" si="109"/>
        <v>0.55529865125240851</v>
      </c>
    </row>
    <row r="94" spans="1:22">
      <c r="A94" s="11"/>
      <c r="B94" s="25" t="s">
        <v>1</v>
      </c>
      <c r="C94" s="3"/>
      <c r="D94" s="11"/>
      <c r="E94" s="38">
        <f t="shared" ref="E94:O94" si="120">E71/E$61</f>
        <v>0.1701534170153417</v>
      </c>
      <c r="F94" s="38">
        <f t="shared" si="120"/>
        <v>0.27486128894579598</v>
      </c>
      <c r="G94" s="38">
        <f t="shared" si="120"/>
        <v>0.1643646408839779</v>
      </c>
      <c r="H94" s="431">
        <f t="shared" si="120"/>
        <v>0.19475655430711611</v>
      </c>
      <c r="I94" s="431">
        <f t="shared" si="120"/>
        <v>9.9337748344370855E-2</v>
      </c>
      <c r="J94" s="431">
        <f t="shared" si="120"/>
        <v>0.35430861723446894</v>
      </c>
      <c r="K94" s="431">
        <f t="shared" si="120"/>
        <v>0.23109243697478993</v>
      </c>
      <c r="L94" s="431">
        <f t="shared" si="120"/>
        <v>0.14787701317715959</v>
      </c>
      <c r="M94" s="431">
        <f t="shared" si="120"/>
        <v>0.23803967327887982</v>
      </c>
      <c r="N94" s="431">
        <f t="shared" si="120"/>
        <v>0.35361067503924648</v>
      </c>
      <c r="O94" s="431">
        <f t="shared" si="120"/>
        <v>0.28874172185430463</v>
      </c>
      <c r="P94" s="431">
        <f>P71/P$61</f>
        <v>0.23605150214592274</v>
      </c>
      <c r="Q94" s="431">
        <f t="shared" si="107"/>
        <v>0.13556618819776714</v>
      </c>
      <c r="R94" s="431">
        <f t="shared" si="107"/>
        <v>0.36960132890365449</v>
      </c>
      <c r="S94" s="431">
        <f t="shared" si="108"/>
        <v>0.15332197614991483</v>
      </c>
      <c r="T94" s="431">
        <f t="shared" si="108"/>
        <v>0.28462998102466791</v>
      </c>
      <c r="U94" s="431">
        <f t="shared" si="109"/>
        <v>0.20505992010652463</v>
      </c>
      <c r="V94" s="431">
        <f t="shared" si="109"/>
        <v>0.44470134874759154</v>
      </c>
    </row>
    <row r="95" spans="1:22" ht="16.5">
      <c r="A95" s="12"/>
      <c r="B95" s="2" t="s">
        <v>251</v>
      </c>
      <c r="C95" s="12"/>
      <c r="D95" s="12"/>
      <c r="E95" s="40">
        <f t="shared" ref="E95:O95" si="121">E72/E$61</f>
        <v>3.3472803347280332E-2</v>
      </c>
      <c r="F95" s="40">
        <f t="shared" si="121"/>
        <v>7.6824583866837385E-3</v>
      </c>
      <c r="G95" s="40">
        <f t="shared" si="121"/>
        <v>1.3812154696132596E-2</v>
      </c>
      <c r="H95" s="430">
        <f t="shared" si="121"/>
        <v>0</v>
      </c>
      <c r="I95" s="430">
        <f t="shared" si="121"/>
        <v>3.9735099337748344E-3</v>
      </c>
      <c r="J95" s="430">
        <f t="shared" si="121"/>
        <v>-1.2024048096192384E-3</v>
      </c>
      <c r="K95" s="430">
        <f t="shared" si="121"/>
        <v>0</v>
      </c>
      <c r="L95" s="430">
        <f t="shared" si="121"/>
        <v>1.4641288433382138E-3</v>
      </c>
      <c r="M95" s="430">
        <f t="shared" si="121"/>
        <v>1.6336056009334889E-2</v>
      </c>
      <c r="N95" s="430">
        <f t="shared" si="121"/>
        <v>3.1397174254317113E-3</v>
      </c>
      <c r="O95" s="430">
        <f t="shared" si="121"/>
        <v>2.6490066225165563E-3</v>
      </c>
      <c r="P95" s="430">
        <f t="shared" ref="P95" si="122">P72/P$61</f>
        <v>2.8612303290414878E-3</v>
      </c>
      <c r="Q95" s="430">
        <f t="shared" si="107"/>
        <v>4.7846889952153108E-3</v>
      </c>
      <c r="R95" s="430">
        <f t="shared" si="107"/>
        <v>-2.0764119601328905E-3</v>
      </c>
      <c r="S95" s="430">
        <f t="shared" si="108"/>
        <v>1.7035775127768314E-3</v>
      </c>
      <c r="T95" s="430">
        <f t="shared" si="108"/>
        <v>1.8975332068311196E-3</v>
      </c>
      <c r="U95" s="430">
        <f t="shared" si="109"/>
        <v>1.3315579227696406E-3</v>
      </c>
      <c r="V95" s="430">
        <f t="shared" si="109"/>
        <v>1.1560693641618498E-3</v>
      </c>
    </row>
    <row r="96" spans="1:22">
      <c r="A96" s="12"/>
      <c r="B96" s="22" t="s">
        <v>52</v>
      </c>
      <c r="C96" s="4"/>
      <c r="D96" s="12"/>
      <c r="E96" s="39">
        <f t="shared" ref="E96:O96" si="123">E73/E$61</f>
        <v>0.20362622036262204</v>
      </c>
      <c r="F96" s="39">
        <f t="shared" si="123"/>
        <v>0.28254374733247972</v>
      </c>
      <c r="G96" s="39">
        <f t="shared" si="123"/>
        <v>0.17817679558011049</v>
      </c>
      <c r="H96" s="428">
        <f t="shared" si="123"/>
        <v>0.19475655430711611</v>
      </c>
      <c r="I96" s="428">
        <f t="shared" si="123"/>
        <v>0.10331125827814569</v>
      </c>
      <c r="J96" s="428">
        <f t="shared" si="123"/>
        <v>0.35310621242484969</v>
      </c>
      <c r="K96" s="428">
        <f t="shared" si="123"/>
        <v>0.23109243697478993</v>
      </c>
      <c r="L96" s="428">
        <f t="shared" si="123"/>
        <v>0.14934114202049781</v>
      </c>
      <c r="M96" s="428">
        <f t="shared" si="123"/>
        <v>0.25437572928821472</v>
      </c>
      <c r="N96" s="428">
        <f t="shared" si="123"/>
        <v>0.35675039246467816</v>
      </c>
      <c r="O96" s="428">
        <f t="shared" si="123"/>
        <v>0.29139072847682118</v>
      </c>
      <c r="P96" s="428">
        <f t="shared" ref="P96" si="124">P73/P$61</f>
        <v>0.23891273247496422</v>
      </c>
      <c r="Q96" s="428">
        <f t="shared" si="107"/>
        <v>0.14035087719298245</v>
      </c>
      <c r="R96" s="428">
        <f t="shared" si="107"/>
        <v>0.36752491694352157</v>
      </c>
      <c r="S96" s="428">
        <f t="shared" si="108"/>
        <v>0.15502555366269166</v>
      </c>
      <c r="T96" s="428">
        <f t="shared" si="108"/>
        <v>0.28652751423149903</v>
      </c>
      <c r="U96" s="428">
        <f t="shared" si="109"/>
        <v>0.20639147802929428</v>
      </c>
      <c r="V96" s="428">
        <f t="shared" si="109"/>
        <v>0.44585741811175339</v>
      </c>
    </row>
    <row r="97" spans="1:22" ht="16.5">
      <c r="A97" s="12"/>
      <c r="B97" s="2" t="s">
        <v>53</v>
      </c>
      <c r="C97" s="4"/>
      <c r="D97" s="12"/>
      <c r="E97" s="40">
        <f t="shared" ref="E97:O97" si="125">E74/E$61</f>
        <v>7.5313807531380755E-2</v>
      </c>
      <c r="F97" s="40">
        <f t="shared" si="125"/>
        <v>9.9445155783183956E-2</v>
      </c>
      <c r="G97" s="40">
        <f t="shared" si="125"/>
        <v>2.4861878453038673E-2</v>
      </c>
      <c r="H97" s="430">
        <f t="shared" si="125"/>
        <v>5.4931335830212237E-2</v>
      </c>
      <c r="I97" s="430">
        <f t="shared" si="125"/>
        <v>3.0463576158940398E-2</v>
      </c>
      <c r="J97" s="430">
        <f t="shared" si="125"/>
        <v>9.9799599198396788E-2</v>
      </c>
      <c r="K97" s="430">
        <f t="shared" si="125"/>
        <v>6.8627450980392163E-2</v>
      </c>
      <c r="L97" s="430">
        <f t="shared" si="125"/>
        <v>4.3923865300146414E-2</v>
      </c>
      <c r="M97" s="430">
        <f t="shared" si="125"/>
        <v>8.168028004667445E-2</v>
      </c>
      <c r="N97" s="430">
        <f t="shared" si="125"/>
        <v>9.968602825745683E-2</v>
      </c>
      <c r="O97" s="430">
        <f t="shared" si="125"/>
        <v>8.4768211920529801E-2</v>
      </c>
      <c r="P97" s="430">
        <f t="shared" ref="P97" si="126">P74/P$61</f>
        <v>7.0100143061516448E-2</v>
      </c>
      <c r="Q97" s="430">
        <f t="shared" si="107"/>
        <v>1.594896331738437E-3</v>
      </c>
      <c r="R97" s="430">
        <f t="shared" si="107"/>
        <v>6.6445182724252497E-2</v>
      </c>
      <c r="S97" s="430">
        <f t="shared" si="108"/>
        <v>4.0885860306643949E-2</v>
      </c>
      <c r="T97" s="430">
        <f t="shared" si="108"/>
        <v>7.4003795066413663E-2</v>
      </c>
      <c r="U97" s="430">
        <f t="shared" si="109"/>
        <v>-1.7310252996005325E-2</v>
      </c>
      <c r="V97" s="430">
        <f t="shared" si="109"/>
        <v>0.102504816955684</v>
      </c>
    </row>
    <row r="98" spans="1:22" ht="16.5">
      <c r="A98" s="12"/>
      <c r="B98" s="25" t="s">
        <v>2</v>
      </c>
      <c r="C98" s="4"/>
      <c r="D98" s="9"/>
      <c r="E98" s="41">
        <f t="shared" ref="E98:P98" si="127">E75/E$61</f>
        <v>0.12831241283124128</v>
      </c>
      <c r="F98" s="41">
        <f t="shared" si="127"/>
        <v>0.18309859154929578</v>
      </c>
      <c r="G98" s="41">
        <f t="shared" si="127"/>
        <v>0.15331491712707182</v>
      </c>
      <c r="H98" s="41">
        <f t="shared" si="127"/>
        <v>0.13982521847690388</v>
      </c>
      <c r="I98" s="41">
        <f t="shared" si="127"/>
        <v>7.2847682119205295E-2</v>
      </c>
      <c r="J98" s="41">
        <f t="shared" si="127"/>
        <v>0.25330661322645293</v>
      </c>
      <c r="K98" s="41">
        <f t="shared" si="127"/>
        <v>0.16246498599439776</v>
      </c>
      <c r="L98" s="432">
        <f t="shared" si="127"/>
        <v>0.10541727672035139</v>
      </c>
      <c r="M98" s="41">
        <f t="shared" si="127"/>
        <v>0.17269544924154026</v>
      </c>
      <c r="N98" s="41">
        <f t="shared" si="127"/>
        <v>0.25706436420722134</v>
      </c>
      <c r="O98" s="41">
        <f t="shared" si="127"/>
        <v>0.20662251655629138</v>
      </c>
      <c r="P98" s="41">
        <f t="shared" si="127"/>
        <v>0.16881258941344779</v>
      </c>
      <c r="Q98" s="41">
        <f t="shared" si="107"/>
        <v>0.13875598086124402</v>
      </c>
      <c r="R98" s="41">
        <f>R75/R$61</f>
        <v>0.30107973421926909</v>
      </c>
      <c r="S98" s="41">
        <f t="shared" si="108"/>
        <v>0.11413969335604771</v>
      </c>
      <c r="T98" s="41">
        <f t="shared" si="108"/>
        <v>0.21252371916508539</v>
      </c>
      <c r="U98" s="41">
        <f t="shared" si="109"/>
        <v>0.22370173102529961</v>
      </c>
      <c r="V98" s="41">
        <f t="shared" si="109"/>
        <v>0.34335260115606936</v>
      </c>
    </row>
    <row r="99" spans="1:22" ht="16.5">
      <c r="A99" s="12"/>
      <c r="B99" s="25"/>
      <c r="C99" s="4"/>
      <c r="D99" s="9"/>
      <c r="E99" s="41"/>
      <c r="F99" s="41"/>
      <c r="G99" s="41"/>
      <c r="H99" s="41"/>
      <c r="I99" s="41"/>
      <c r="J99" s="41"/>
      <c r="K99" s="41"/>
      <c r="L99" s="432"/>
      <c r="M99" s="41"/>
      <c r="N99" s="41"/>
      <c r="O99" s="41"/>
      <c r="P99" s="41"/>
    </row>
    <row r="100" spans="1:22" ht="16.5" outlineLevel="1">
      <c r="A100" s="9"/>
      <c r="B100" s="550" t="s">
        <v>244</v>
      </c>
      <c r="C100" s="9"/>
      <c r="D100" s="9"/>
      <c r="E100" s="41"/>
      <c r="F100" s="41"/>
      <c r="G100" s="41"/>
      <c r="H100" s="432"/>
      <c r="I100" s="432"/>
      <c r="J100" s="432"/>
      <c r="K100" s="432"/>
      <c r="L100" s="432"/>
      <c r="M100" s="432"/>
      <c r="N100" s="432"/>
      <c r="O100" s="432"/>
      <c r="P100" s="432"/>
    </row>
    <row r="101" spans="1:22" outlineLevel="1"/>
    <row r="102" spans="1:22" ht="16.5">
      <c r="A102" s="9"/>
      <c r="B102" s="25"/>
      <c r="C102" s="9"/>
      <c r="D102" s="9"/>
      <c r="E102" s="41"/>
      <c r="F102" s="41"/>
      <c r="G102" s="41"/>
      <c r="H102" s="432"/>
      <c r="I102" s="432"/>
      <c r="J102" s="432"/>
      <c r="K102" s="432"/>
      <c r="L102" s="432"/>
      <c r="M102" s="432"/>
      <c r="N102" s="432"/>
      <c r="O102" s="432"/>
      <c r="P102" s="432"/>
    </row>
  </sheetData>
  <mergeCells count="3">
    <mergeCell ref="A1:W1"/>
    <mergeCell ref="A2:W2"/>
    <mergeCell ref="A3:W3"/>
  </mergeCells>
  <conditionalFormatting sqref="B58 C57:C58">
    <cfRule type="cellIs" dxfId="1" priority="1" stopIfTrue="1" operator="equal">
      <formula>"tie to PF Core IS"</formula>
    </cfRule>
  </conditionalFormatting>
  <pageMargins left="0.7" right="0.7" top="0.25" bottom="0.44" header="0.3" footer="0.3"/>
  <pageSetup scale="47" fitToHeight="2" orientation="landscape" r:id="rId1"/>
  <headerFooter>
    <oddFooter>&amp;LActivision Blizzard, Inc.&amp;R&amp;P of &amp; 17</oddFooter>
  </headerFooter>
  <rowBreaks count="1" manualBreakCount="1">
    <brk id="56" max="2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5"/>
  <sheetViews>
    <sheetView showGridLines="0" view="pageBreakPreview" zoomScale="75" zoomScaleNormal="100" zoomScaleSheetLayoutView="75" workbookViewId="0">
      <pane xSplit="4" ySplit="8" topLeftCell="E9" activePane="bottomRight" state="frozen"/>
      <selection activeCell="A19" sqref="A19:R19"/>
      <selection pane="topRight" activeCell="A19" sqref="A19:R19"/>
      <selection pane="bottomLeft" activeCell="A19" sqref="A19:R19"/>
      <selection pane="bottomRight" activeCell="E9" sqref="E9"/>
    </sheetView>
  </sheetViews>
  <sheetFormatPr defaultColWidth="8.85546875" defaultRowHeight="15" outlineLevelCol="1"/>
  <cols>
    <col min="1" max="3" width="2.7109375" style="5" customWidth="1"/>
    <col min="4" max="4" width="40.28515625" style="5" customWidth="1"/>
    <col min="5" max="6" width="11.140625" style="27" customWidth="1" outlineLevel="1"/>
    <col min="7" max="7" width="11.140625" style="48" customWidth="1" outlineLevel="1"/>
    <col min="8" max="9" width="11.140625" style="48" customWidth="1"/>
    <col min="10" max="10" width="10.5703125" style="27" bestFit="1" customWidth="1"/>
    <col min="11" max="12" width="10.5703125" style="48" bestFit="1" customWidth="1"/>
    <col min="13" max="19" width="10" style="43" customWidth="1"/>
    <col min="20" max="20" width="1.42578125" style="27" customWidth="1"/>
    <col min="21" max="16384" width="8.85546875" style="27"/>
  </cols>
  <sheetData>
    <row r="1" spans="1:25" s="31" customFormat="1" ht="15" customHeight="1" collapsed="1">
      <c r="A1" s="586" t="s">
        <v>42</v>
      </c>
      <c r="B1" s="586"/>
      <c r="C1" s="586"/>
      <c r="D1" s="586"/>
      <c r="E1" s="586"/>
      <c r="F1" s="586"/>
      <c r="G1" s="586"/>
      <c r="H1" s="586"/>
      <c r="I1" s="586"/>
      <c r="J1" s="586"/>
      <c r="K1" s="586"/>
      <c r="L1" s="586"/>
      <c r="M1" s="586"/>
      <c r="N1" s="586"/>
      <c r="O1" s="586"/>
      <c r="P1" s="586"/>
      <c r="Q1" s="586"/>
      <c r="R1" s="586"/>
      <c r="S1" s="586"/>
      <c r="T1" s="586"/>
    </row>
    <row r="2" spans="1:25" s="31" customFormat="1" ht="15" customHeight="1">
      <c r="A2" s="586" t="s">
        <v>240</v>
      </c>
      <c r="B2" s="586"/>
      <c r="C2" s="586"/>
      <c r="D2" s="586"/>
      <c r="E2" s="586"/>
      <c r="F2" s="586"/>
      <c r="G2" s="586"/>
      <c r="H2" s="586"/>
      <c r="I2" s="586"/>
      <c r="J2" s="586"/>
      <c r="K2" s="586"/>
      <c r="L2" s="586"/>
      <c r="M2" s="586"/>
      <c r="N2" s="586"/>
      <c r="O2" s="586"/>
      <c r="P2" s="586"/>
      <c r="Q2" s="586"/>
      <c r="R2" s="586"/>
      <c r="S2" s="586"/>
      <c r="T2" s="586"/>
    </row>
    <row r="3" spans="1:25" s="31" customFormat="1" ht="15" customHeight="1">
      <c r="A3" s="586" t="s">
        <v>24</v>
      </c>
      <c r="B3" s="586"/>
      <c r="C3" s="586"/>
      <c r="D3" s="586"/>
      <c r="E3" s="586"/>
      <c r="F3" s="586"/>
      <c r="G3" s="586"/>
      <c r="H3" s="586"/>
      <c r="I3" s="586"/>
      <c r="J3" s="586"/>
      <c r="K3" s="586"/>
      <c r="L3" s="586"/>
      <c r="M3" s="586"/>
      <c r="N3" s="586"/>
      <c r="O3" s="586"/>
      <c r="P3" s="586"/>
      <c r="Q3" s="586"/>
      <c r="R3" s="586"/>
      <c r="S3" s="586"/>
      <c r="T3" s="586"/>
      <c r="U3" s="30"/>
      <c r="Y3" s="30"/>
    </row>
    <row r="4" spans="1:25" s="61" customFormat="1" ht="5.25" customHeight="1">
      <c r="A4" s="59"/>
      <c r="B4" s="60"/>
      <c r="C4" s="60"/>
      <c r="D4" s="60"/>
      <c r="E4" s="60"/>
      <c r="F4" s="60"/>
      <c r="G4" s="522"/>
      <c r="H4" s="522"/>
      <c r="I4" s="522"/>
      <c r="J4" s="60"/>
      <c r="K4" s="522"/>
      <c r="L4" s="522"/>
      <c r="M4" s="522"/>
      <c r="N4" s="60"/>
      <c r="O4" s="60"/>
      <c r="P4" s="60"/>
      <c r="Q4" s="60"/>
      <c r="R4" s="60"/>
      <c r="S4" s="60"/>
      <c r="U4" s="474"/>
      <c r="Y4" s="474"/>
    </row>
    <row r="5" spans="1:25">
      <c r="A5" s="20" t="s">
        <v>159</v>
      </c>
    </row>
    <row r="6" spans="1:25" s="408" customFormat="1">
      <c r="A6" s="534"/>
      <c r="B6" s="534"/>
      <c r="C6" s="534"/>
      <c r="D6" s="534"/>
      <c r="E6" s="410" t="s">
        <v>4</v>
      </c>
      <c r="F6" s="410" t="s">
        <v>5</v>
      </c>
      <c r="G6" s="410" t="s">
        <v>6</v>
      </c>
      <c r="H6" s="410" t="s">
        <v>3</v>
      </c>
      <c r="I6" s="410" t="s">
        <v>4</v>
      </c>
      <c r="J6" s="410" t="s">
        <v>5</v>
      </c>
      <c r="K6" s="410" t="s">
        <v>6</v>
      </c>
      <c r="L6" s="410" t="s">
        <v>3</v>
      </c>
      <c r="M6" s="410" t="s">
        <v>4</v>
      </c>
      <c r="N6" s="410" t="s">
        <v>5</v>
      </c>
      <c r="O6" s="410" t="s">
        <v>6</v>
      </c>
      <c r="P6" s="410" t="s">
        <v>3</v>
      </c>
      <c r="Q6" s="410" t="s">
        <v>4</v>
      </c>
      <c r="R6" s="410" t="s">
        <v>5</v>
      </c>
      <c r="S6" s="410" t="s">
        <v>6</v>
      </c>
    </row>
    <row r="7" spans="1:25" s="408" customFormat="1">
      <c r="A7" s="533"/>
      <c r="B7" s="533"/>
      <c r="C7" s="533"/>
      <c r="D7" s="533"/>
      <c r="E7" s="410" t="s">
        <v>44</v>
      </c>
      <c r="F7" s="410" t="s">
        <v>44</v>
      </c>
      <c r="G7" s="410" t="s">
        <v>44</v>
      </c>
      <c r="H7" s="410" t="s">
        <v>45</v>
      </c>
      <c r="I7" s="410" t="s">
        <v>45</v>
      </c>
      <c r="J7" s="410" t="s">
        <v>45</v>
      </c>
      <c r="K7" s="410" t="s">
        <v>45</v>
      </c>
      <c r="L7" s="410" t="s">
        <v>46</v>
      </c>
      <c r="M7" s="410" t="s">
        <v>46</v>
      </c>
      <c r="N7" s="410" t="s">
        <v>46</v>
      </c>
      <c r="O7" s="410" t="s">
        <v>46</v>
      </c>
      <c r="P7" s="410" t="s">
        <v>266</v>
      </c>
      <c r="Q7" s="410" t="s">
        <v>266</v>
      </c>
      <c r="R7" s="410" t="s">
        <v>266</v>
      </c>
      <c r="S7" s="410" t="s">
        <v>266</v>
      </c>
    </row>
    <row r="8" spans="1:25" s="408" customFormat="1">
      <c r="E8" s="575" t="s">
        <v>230</v>
      </c>
      <c r="F8" s="575" t="s">
        <v>230</v>
      </c>
      <c r="G8" s="575" t="s">
        <v>230</v>
      </c>
      <c r="H8" s="575" t="s">
        <v>230</v>
      </c>
      <c r="I8" s="575" t="s">
        <v>230</v>
      </c>
      <c r="J8" s="575" t="s">
        <v>230</v>
      </c>
      <c r="K8" s="575" t="s">
        <v>230</v>
      </c>
      <c r="L8" s="575" t="s">
        <v>230</v>
      </c>
      <c r="M8" s="575" t="s">
        <v>230</v>
      </c>
      <c r="N8" s="575" t="s">
        <v>230</v>
      </c>
      <c r="O8" s="575" t="s">
        <v>230</v>
      </c>
      <c r="P8" s="575" t="s">
        <v>230</v>
      </c>
      <c r="Q8" s="575" t="s">
        <v>230</v>
      </c>
      <c r="R8" s="575" t="s">
        <v>230</v>
      </c>
      <c r="S8" s="575" t="s">
        <v>230</v>
      </c>
      <c r="T8" s="576"/>
    </row>
    <row r="9" spans="1:25" ht="5.25" customHeight="1">
      <c r="A9" s="6"/>
      <c r="B9" s="6"/>
      <c r="C9" s="6"/>
      <c r="D9" s="6"/>
      <c r="E9" s="543"/>
      <c r="F9" s="543"/>
      <c r="G9" s="543"/>
      <c r="H9" s="543"/>
      <c r="I9" s="543"/>
      <c r="J9" s="543"/>
      <c r="K9" s="543"/>
      <c r="L9" s="543"/>
      <c r="M9" s="544"/>
      <c r="N9" s="544"/>
      <c r="O9" s="544"/>
      <c r="P9" s="544"/>
      <c r="Q9" s="544"/>
      <c r="R9" s="544"/>
      <c r="S9" s="544"/>
    </row>
    <row r="10" spans="1:25">
      <c r="A10" s="8"/>
      <c r="B10" s="1" t="s">
        <v>216</v>
      </c>
      <c r="C10" s="9"/>
      <c r="D10" s="8"/>
      <c r="E10" s="13">
        <f>SUM('QTD P&amp;L'!E9:H9)</f>
        <v>4369</v>
      </c>
      <c r="F10" s="13">
        <f>SUM('QTD P&amp;L'!F9:I9)</f>
        <v>4361</v>
      </c>
      <c r="G10" s="13">
        <f>SUM('QTD P&amp;L'!G9:J9)</f>
        <v>4279</v>
      </c>
      <c r="H10" s="13">
        <f>SUM('QTD P&amp;L'!H9:K9)</f>
        <v>4606</v>
      </c>
      <c r="I10" s="13">
        <f>SUM('QTD P&amp;L'!I9:L9)</f>
        <v>4535</v>
      </c>
      <c r="J10" s="13">
        <f>SUM('QTD P&amp;L'!J9:M9)</f>
        <v>4577</v>
      </c>
      <c r="K10" s="13">
        <f>SUM('QTD P&amp;L'!K9:N9)</f>
        <v>4447</v>
      </c>
      <c r="L10" s="13">
        <f>SUM('QTD P&amp;L'!L9:O9)</f>
        <v>4588</v>
      </c>
      <c r="M10" s="13">
        <f>SUM('QTD P&amp;L'!M9:P9)</f>
        <v>4767</v>
      </c>
      <c r="N10" s="13">
        <f>SUM('QTD P&amp;L'!N9:Q9)</f>
        <v>4776</v>
      </c>
      <c r="O10" s="13">
        <v>4755</v>
      </c>
      <c r="P10" s="13">
        <f>SUM('QTD P&amp;L'!P9:S9)</f>
        <v>4479</v>
      </c>
      <c r="Q10" s="13">
        <f>SUM('QTD P&amp;L'!Q9:T9)</f>
        <v>4408</v>
      </c>
      <c r="R10" s="13">
        <f>SUM('QTD P&amp;L'!R9:U9)</f>
        <v>4495</v>
      </c>
      <c r="S10" s="13">
        <v>4856</v>
      </c>
    </row>
    <row r="11" spans="1:25">
      <c r="A11" s="8"/>
      <c r="B11" s="1" t="s">
        <v>215</v>
      </c>
      <c r="C11" s="9"/>
      <c r="D11" s="8"/>
      <c r="E11" s="523"/>
      <c r="F11" s="13"/>
      <c r="G11" s="523"/>
      <c r="H11" s="523"/>
      <c r="I11" s="523"/>
      <c r="J11" s="13"/>
      <c r="K11" s="523"/>
      <c r="L11" s="523"/>
      <c r="M11" s="523"/>
      <c r="N11" s="13"/>
      <c r="O11" s="13"/>
      <c r="P11" s="13"/>
      <c r="Q11" s="13"/>
      <c r="R11" s="13"/>
      <c r="S11" s="13"/>
    </row>
    <row r="12" spans="1:25" s="48" customFormat="1">
      <c r="A12" s="10"/>
      <c r="B12" s="2"/>
      <c r="C12" s="2" t="s">
        <v>226</v>
      </c>
      <c r="D12" s="10"/>
      <c r="E12" s="47">
        <f>SUM('QTD P&amp;L'!E11:H11)</f>
        <v>1661</v>
      </c>
      <c r="F12" s="47">
        <f>SUM('QTD P&amp;L'!F11:I11)</f>
        <v>1567</v>
      </c>
      <c r="G12" s="47">
        <v>1432</v>
      </c>
      <c r="H12" s="47">
        <f>SUM('QTD P&amp;L'!H11:K11)</f>
        <v>1473</v>
      </c>
      <c r="I12" s="47">
        <f>SUM('QTD P&amp;L'!I11:L11)</f>
        <v>1427</v>
      </c>
      <c r="J12" s="47">
        <f>SUM('QTD P&amp;L'!J11:M11)</f>
        <v>1436</v>
      </c>
      <c r="K12" s="47">
        <v>1350</v>
      </c>
      <c r="L12" s="47">
        <f>SUM('QTD P&amp;L'!L11:O11)</f>
        <v>1313</v>
      </c>
      <c r="M12" s="47">
        <f>SUM('QTD P&amp;L'!M11:P11)</f>
        <v>1291</v>
      </c>
      <c r="N12" s="47">
        <f>SUM('QTD P&amp;L'!N11:Q11)</f>
        <v>1235</v>
      </c>
      <c r="O12" s="47">
        <v>1134</v>
      </c>
      <c r="P12" s="47">
        <f>SUM('QTD P&amp;L'!P11:S11)</f>
        <v>1091</v>
      </c>
      <c r="Q12" s="47">
        <f>SUM('QTD P&amp;L'!Q11:T11)</f>
        <v>1107</v>
      </c>
      <c r="R12" s="47">
        <f>SUM('QTD P&amp;L'!R11:U11)</f>
        <v>1115</v>
      </c>
      <c r="S12" s="47">
        <v>1116</v>
      </c>
    </row>
    <row r="13" spans="1:25" s="48" customFormat="1">
      <c r="A13" s="10"/>
      <c r="B13" s="2"/>
      <c r="C13" s="2" t="s">
        <v>256</v>
      </c>
      <c r="D13" s="10"/>
      <c r="E13" s="47">
        <f>SUM('QTD P&amp;L'!E12:H12)</f>
        <v>199</v>
      </c>
      <c r="F13" s="47">
        <f>SUM('QTD P&amp;L'!F12:I12)</f>
        <v>211</v>
      </c>
      <c r="G13" s="47">
        <v>212</v>
      </c>
      <c r="H13" s="47">
        <f>SUM('QTD P&amp;L'!H12:K12)</f>
        <v>218</v>
      </c>
      <c r="I13" s="47">
        <f>SUM('QTD P&amp;L'!I12:L12)</f>
        <v>222</v>
      </c>
      <c r="J13" s="47">
        <f>SUM('QTD P&amp;L'!J12:M12)</f>
        <v>231</v>
      </c>
      <c r="K13" s="47">
        <f>241+9</f>
        <v>250</v>
      </c>
      <c r="L13" s="47">
        <f>SUM('QTD P&amp;L'!L12:O12)</f>
        <v>261</v>
      </c>
      <c r="M13" s="47">
        <f>SUM('QTD P&amp;L'!M12:P12)</f>
        <v>268</v>
      </c>
      <c r="N13" s="47">
        <f>SUM('QTD P&amp;L'!N12:Q12)</f>
        <v>267</v>
      </c>
      <c r="O13" s="47">
        <f>238+17</f>
        <v>255</v>
      </c>
      <c r="P13" s="47">
        <f>SUM('QTD P&amp;L'!P12:S12)</f>
        <v>259</v>
      </c>
      <c r="Q13" s="47">
        <f>SUM('QTD P&amp;L'!Q12:T12)</f>
        <v>268</v>
      </c>
      <c r="R13" s="47">
        <f>SUM('QTD P&amp;L'!R12:U12)</f>
        <v>267</v>
      </c>
      <c r="S13" s="47">
        <f>231+32</f>
        <v>263</v>
      </c>
    </row>
    <row r="14" spans="1:25" s="48" customFormat="1">
      <c r="A14" s="10"/>
      <c r="B14" s="2"/>
      <c r="C14" s="2" t="s">
        <v>224</v>
      </c>
      <c r="D14" s="10"/>
      <c r="E14" s="47">
        <f>SUM('QTD P&amp;L'!E13:H13)</f>
        <v>387</v>
      </c>
      <c r="F14" s="47">
        <f>SUM('QTD P&amp;L'!F13:I13)</f>
        <v>391</v>
      </c>
      <c r="G14" s="47">
        <v>348</v>
      </c>
      <c r="H14" s="47">
        <f>SUM('QTD P&amp;L'!H13:K13)</f>
        <v>375</v>
      </c>
      <c r="I14" s="47">
        <f>SUM('QTD P&amp;L'!I13:L13)</f>
        <v>340</v>
      </c>
      <c r="J14" s="47">
        <f>SUM('QTD P&amp;L'!J13:M13)</f>
        <v>347</v>
      </c>
      <c r="K14" s="47">
        <v>338</v>
      </c>
      <c r="L14" s="47">
        <f>SUM('QTD P&amp;L'!L13:O13)</f>
        <v>301</v>
      </c>
      <c r="M14" s="47">
        <f>SUM('QTD P&amp;L'!M13:P13)</f>
        <v>297</v>
      </c>
      <c r="N14" s="47">
        <f>SUM('QTD P&amp;L'!N13:Q13)</f>
        <v>260</v>
      </c>
      <c r="O14" s="47">
        <v>218</v>
      </c>
      <c r="P14" s="47">
        <f>SUM('QTD P&amp;L'!P13:S13)</f>
        <v>187</v>
      </c>
      <c r="Q14" s="47">
        <f>SUM('QTD P&amp;L'!Q13:T13)</f>
        <v>197</v>
      </c>
      <c r="R14" s="47">
        <f>SUM('QTD P&amp;L'!R13:U13)</f>
        <v>192</v>
      </c>
      <c r="S14" s="47">
        <v>194</v>
      </c>
    </row>
    <row r="15" spans="1:25" s="48" customFormat="1">
      <c r="A15" s="10"/>
      <c r="B15" s="2"/>
      <c r="C15" s="2" t="s">
        <v>225</v>
      </c>
      <c r="D15" s="10"/>
      <c r="E15" s="47">
        <f>SUM('QTD P&amp;L'!E14:H14)</f>
        <v>328</v>
      </c>
      <c r="F15" s="47">
        <f>SUM('QTD P&amp;L'!F14:I14)</f>
        <v>337</v>
      </c>
      <c r="G15" s="47">
        <v>315</v>
      </c>
      <c r="H15" s="47">
        <f>SUM('QTD P&amp;L'!H14:K14)</f>
        <v>294</v>
      </c>
      <c r="I15" s="47">
        <f>SUM('QTD P&amp;L'!I14:L14)</f>
        <v>269</v>
      </c>
      <c r="J15" s="47">
        <f>SUM('QTD P&amp;L'!J14:M14)</f>
        <v>257</v>
      </c>
      <c r="K15" s="47">
        <v>197</v>
      </c>
      <c r="L15" s="47">
        <f>SUM('QTD P&amp;L'!L14:O14)</f>
        <v>183</v>
      </c>
      <c r="M15" s="47">
        <f>SUM('QTD P&amp;L'!M14:P14)</f>
        <v>178</v>
      </c>
      <c r="N15" s="47">
        <f>SUM('QTD P&amp;L'!N14:Q14)</f>
        <v>161</v>
      </c>
      <c r="O15" s="47">
        <v>165</v>
      </c>
      <c r="P15" s="47">
        <f>SUM('QTD P&amp;L'!P14:S14)</f>
        <v>143</v>
      </c>
      <c r="Q15" s="47">
        <f>SUM('QTD P&amp;L'!Q14:T14)</f>
        <v>139</v>
      </c>
      <c r="R15" s="47">
        <f>SUM('QTD P&amp;L'!R14:U14)</f>
        <v>133</v>
      </c>
      <c r="S15" s="47">
        <v>89</v>
      </c>
    </row>
    <row r="16" spans="1:25">
      <c r="A16" s="10"/>
      <c r="B16" s="10"/>
      <c r="C16" s="6" t="s">
        <v>47</v>
      </c>
      <c r="D16" s="10"/>
      <c r="E16" s="15">
        <f>SUM('QTD P&amp;L'!E15:H15)</f>
        <v>636</v>
      </c>
      <c r="F16" s="15">
        <f>SUM('QTD P&amp;L'!F15:I15)</f>
        <v>558</v>
      </c>
      <c r="G16" s="15">
        <v>627</v>
      </c>
      <c r="H16" s="15">
        <f>SUM('QTD P&amp;L'!H15:K15)</f>
        <v>644</v>
      </c>
      <c r="I16" s="15">
        <f>SUM('QTD P&amp;L'!I15:L15)</f>
        <v>618</v>
      </c>
      <c r="J16" s="15">
        <f>SUM('QTD P&amp;L'!J15:M15)</f>
        <v>611</v>
      </c>
      <c r="K16" s="15">
        <f>642-7-9</f>
        <v>626</v>
      </c>
      <c r="L16" s="15">
        <f>SUM('QTD P&amp;L'!L15:O15)</f>
        <v>621</v>
      </c>
      <c r="M16" s="15">
        <f>SUM('QTD P&amp;L'!M15:P15)</f>
        <v>637</v>
      </c>
      <c r="N16" s="15">
        <f>SUM('QTD P&amp;L'!N15:Q15)</f>
        <v>651</v>
      </c>
      <c r="O16" s="15">
        <f>646-17</f>
        <v>629</v>
      </c>
      <c r="P16" s="15">
        <f>SUM('QTD P&amp;L'!P15:S15)</f>
        <v>605</v>
      </c>
      <c r="Q16" s="15">
        <f>SUM('QTD P&amp;L'!Q15:T15)</f>
        <v>637</v>
      </c>
      <c r="R16" s="15">
        <f>SUM('QTD P&amp;L'!R15:U15)</f>
        <v>633</v>
      </c>
      <c r="S16" s="15">
        <f>636-32</f>
        <v>604</v>
      </c>
    </row>
    <row r="17" spans="1:19">
      <c r="A17" s="10"/>
      <c r="B17" s="10"/>
      <c r="C17" s="6" t="s">
        <v>48</v>
      </c>
      <c r="D17" s="10"/>
      <c r="E17" s="15">
        <f>SUM('QTD P&amp;L'!E16:H16)</f>
        <v>587</v>
      </c>
      <c r="F17" s="15">
        <f>SUM('QTD P&amp;L'!F16:I16)</f>
        <v>573</v>
      </c>
      <c r="G17" s="15">
        <v>544</v>
      </c>
      <c r="H17" s="15">
        <f>SUM('QTD P&amp;L'!H16:K16)</f>
        <v>517</v>
      </c>
      <c r="I17" s="15">
        <f>SUM('QTD P&amp;L'!I16:L16)</f>
        <v>524</v>
      </c>
      <c r="J17" s="15">
        <f>SUM('QTD P&amp;L'!J16:M16)</f>
        <v>506</v>
      </c>
      <c r="K17" s="15">
        <f>520-4</f>
        <v>516</v>
      </c>
      <c r="L17" s="15">
        <f>SUM('QTD P&amp;L'!L16:O16)</f>
        <v>520</v>
      </c>
      <c r="M17" s="15">
        <f>SUM('QTD P&amp;L'!M16:P16)</f>
        <v>485</v>
      </c>
      <c r="N17" s="15">
        <f>SUM('QTD P&amp;L'!N16:Q16)</f>
        <v>490</v>
      </c>
      <c r="O17" s="15">
        <v>545</v>
      </c>
      <c r="P17" s="15">
        <f>SUM('QTD P&amp;L'!P16:S16)</f>
        <v>565</v>
      </c>
      <c r="Q17" s="15">
        <f>SUM('QTD P&amp;L'!Q16:T16)</f>
        <v>611</v>
      </c>
      <c r="R17" s="15">
        <f>SUM('QTD P&amp;L'!R16:U16)</f>
        <v>627</v>
      </c>
      <c r="S17" s="15">
        <v>578</v>
      </c>
    </row>
    <row r="18" spans="1:19">
      <c r="A18" s="10"/>
      <c r="B18" s="10"/>
      <c r="C18" s="6" t="s">
        <v>49</v>
      </c>
      <c r="D18" s="10"/>
      <c r="E18" s="15">
        <f>SUM('QTD P&amp;L'!E17:H17)</f>
        <v>393</v>
      </c>
      <c r="F18" s="15">
        <f>SUM('QTD P&amp;L'!F17:I17)</f>
        <v>405</v>
      </c>
      <c r="G18" s="15">
        <v>395</v>
      </c>
      <c r="H18" s="15">
        <f>SUM('QTD P&amp;L'!H17:K17)</f>
        <v>362</v>
      </c>
      <c r="I18" s="475">
        <f>SUM('QTD P&amp;L'!I17:L17)</f>
        <v>345</v>
      </c>
      <c r="J18" s="15">
        <f>SUM('QTD P&amp;L'!J17:M17)</f>
        <v>352</v>
      </c>
      <c r="K18" s="15">
        <f>364+11</f>
        <v>375</v>
      </c>
      <c r="L18" s="15">
        <f>SUM('QTD P&amp;L'!L17:O17)</f>
        <v>412</v>
      </c>
      <c r="M18" s="15">
        <f>SUM('QTD P&amp;L'!M17:P17)</f>
        <v>464</v>
      </c>
      <c r="N18" s="15">
        <f>SUM('QTD P&amp;L'!N17:Q17)</f>
        <v>455</v>
      </c>
      <c r="O18" s="15">
        <f>455+1</f>
        <v>456</v>
      </c>
      <c r="P18" s="15">
        <f>SUM('QTD P&amp;L'!P17:S17)</f>
        <v>455</v>
      </c>
      <c r="Q18" s="15">
        <f>SUM('QTD P&amp;L'!Q17:T17)</f>
        <v>518</v>
      </c>
      <c r="R18" s="15">
        <f>SUM('QTD P&amp;L'!R17:U17)</f>
        <v>535</v>
      </c>
      <c r="S18" s="15">
        <v>561</v>
      </c>
    </row>
    <row r="19" spans="1:19">
      <c r="A19" s="10"/>
      <c r="B19" s="10"/>
      <c r="C19" s="6" t="s">
        <v>50</v>
      </c>
      <c r="D19" s="10"/>
      <c r="E19" s="15">
        <f>SUM('QTD P&amp;L'!E18:H18)</f>
        <v>123</v>
      </c>
      <c r="F19" s="15">
        <f>SUM('QTD P&amp;L'!F18:I18)</f>
        <v>61</v>
      </c>
      <c r="G19" s="15">
        <v>23</v>
      </c>
      <c r="H19" s="15">
        <f>SUM('QTD P&amp;L'!H18:K18)</f>
        <v>8</v>
      </c>
      <c r="I19" s="15">
        <f>SUM('QTD P&amp;L'!I18:L18)</f>
        <v>-7</v>
      </c>
      <c r="J19" s="15">
        <f>SUM('QTD P&amp;L'!J18:M18)</f>
        <v>-6</v>
      </c>
      <c r="K19" s="15">
        <v>0</v>
      </c>
      <c r="L19" s="15">
        <f>SUM('QTD P&amp;L'!L18:O18)</f>
        <v>19</v>
      </c>
      <c r="M19" s="15">
        <f>SUM('QTD P&amp;L'!M18:P18)</f>
        <v>22</v>
      </c>
      <c r="N19" s="15">
        <f>SUM('QTD P&amp;L'!N18:Q18)</f>
        <v>25</v>
      </c>
      <c r="O19" s="15">
        <f>26-1</f>
        <v>25</v>
      </c>
      <c r="P19" s="15">
        <f>SUM('QTD P&amp;L'!P18:S18)</f>
        <v>7</v>
      </c>
      <c r="Q19" s="15">
        <f>SUM('QTD P&amp;L'!Q18:T18)</f>
        <v>4</v>
      </c>
      <c r="R19" s="15">
        <f>SUM('QTD P&amp;L'!R18:U18)</f>
        <v>1</v>
      </c>
      <c r="S19" s="15">
        <f>SUM('QTD P&amp;L'!S18:V18)</f>
        <v>0</v>
      </c>
    </row>
    <row r="20" spans="1:19" ht="16.5">
      <c r="A20" s="10"/>
      <c r="B20" s="10"/>
      <c r="C20" s="6" t="s">
        <v>51</v>
      </c>
      <c r="D20" s="10"/>
      <c r="E20" s="16">
        <f>SUM('QTD P&amp;L'!E19:H19)</f>
        <v>0</v>
      </c>
      <c r="F20" s="16">
        <f>SUM('QTD P&amp;L'!F19:I19)</f>
        <v>0</v>
      </c>
      <c r="G20" s="16">
        <v>409</v>
      </c>
      <c r="H20" s="16">
        <f>SUM('QTD P&amp;L'!H19:K19)</f>
        <v>409</v>
      </c>
      <c r="I20" s="16">
        <f>SUM('QTD P&amp;L'!I19:L19)</f>
        <v>409</v>
      </c>
      <c r="J20" s="16">
        <f>SUM('QTD P&amp;L'!J19:M19)</f>
        <v>409</v>
      </c>
      <c r="K20" s="16">
        <v>326</v>
      </c>
      <c r="L20" s="16">
        <f>SUM('QTD P&amp;L'!L19:O19)</f>
        <v>326</v>
      </c>
      <c r="M20" s="16">
        <f>SUM('QTD P&amp;L'!M19:P19)</f>
        <v>326</v>
      </c>
      <c r="N20" s="16">
        <f>SUM('QTD P&amp;L'!N19:Q19)</f>
        <v>326</v>
      </c>
      <c r="O20" s="16">
        <f>SUM('QTD P&amp;L'!O19:R19)</f>
        <v>0</v>
      </c>
      <c r="P20" s="16">
        <f>SUM('QTD P&amp;L'!P19:S19)</f>
        <v>0</v>
      </c>
      <c r="Q20" s="16">
        <f>SUM('QTD P&amp;L'!Q19:T19)</f>
        <v>0</v>
      </c>
      <c r="R20" s="16">
        <f>SUM('QTD P&amp;L'!R19:U19)</f>
        <v>0</v>
      </c>
      <c r="S20" s="16">
        <f>SUM('QTD P&amp;L'!S19:V19)</f>
        <v>0</v>
      </c>
    </row>
    <row r="21" spans="1:19" ht="16.5">
      <c r="A21" s="10"/>
      <c r="B21" s="10"/>
      <c r="C21" s="10"/>
      <c r="D21" s="10" t="s">
        <v>214</v>
      </c>
      <c r="E21" s="16">
        <f t="shared" ref="E21:M21" si="0">SUM(E12:E20)</f>
        <v>4314</v>
      </c>
      <c r="F21" s="16">
        <f t="shared" si="0"/>
        <v>4103</v>
      </c>
      <c r="G21" s="16">
        <f t="shared" si="0"/>
        <v>4305</v>
      </c>
      <c r="H21" s="16">
        <f t="shared" si="0"/>
        <v>4300</v>
      </c>
      <c r="I21" s="16">
        <f t="shared" si="0"/>
        <v>4147</v>
      </c>
      <c r="J21" s="16">
        <f t="shared" si="0"/>
        <v>4143</v>
      </c>
      <c r="K21" s="16">
        <f t="shared" si="0"/>
        <v>3978</v>
      </c>
      <c r="L21" s="16">
        <f t="shared" si="0"/>
        <v>3956</v>
      </c>
      <c r="M21" s="16">
        <f t="shared" si="0"/>
        <v>3968</v>
      </c>
      <c r="N21" s="16">
        <f t="shared" ref="N21:S21" si="1">SUM(N12:N20)</f>
        <v>3870</v>
      </c>
      <c r="O21" s="16">
        <f t="shared" si="1"/>
        <v>3427</v>
      </c>
      <c r="P21" s="16">
        <f t="shared" si="1"/>
        <v>3312</v>
      </c>
      <c r="Q21" s="16">
        <f t="shared" si="1"/>
        <v>3481</v>
      </c>
      <c r="R21" s="16">
        <f t="shared" si="1"/>
        <v>3503</v>
      </c>
      <c r="S21" s="16">
        <f t="shared" si="1"/>
        <v>3405</v>
      </c>
    </row>
    <row r="22" spans="1:19">
      <c r="A22" s="11"/>
      <c r="B22" s="25" t="s">
        <v>1</v>
      </c>
      <c r="C22" s="3"/>
      <c r="D22" s="11"/>
      <c r="E22" s="14">
        <f t="shared" ref="E22:M22" si="2">+E10-E21</f>
        <v>55</v>
      </c>
      <c r="F22" s="14">
        <f t="shared" si="2"/>
        <v>258</v>
      </c>
      <c r="G22" s="14">
        <f t="shared" si="2"/>
        <v>-26</v>
      </c>
      <c r="H22" s="14">
        <f t="shared" si="2"/>
        <v>306</v>
      </c>
      <c r="I22" s="14">
        <f t="shared" si="2"/>
        <v>388</v>
      </c>
      <c r="J22" s="14">
        <f t="shared" si="2"/>
        <v>434</v>
      </c>
      <c r="K22" s="14">
        <f t="shared" si="2"/>
        <v>469</v>
      </c>
      <c r="L22" s="14">
        <f t="shared" si="2"/>
        <v>632</v>
      </c>
      <c r="M22" s="14">
        <f t="shared" si="2"/>
        <v>799</v>
      </c>
      <c r="N22" s="14">
        <f t="shared" ref="N22:S22" si="3">+N10-N21</f>
        <v>906</v>
      </c>
      <c r="O22" s="14">
        <f t="shared" si="3"/>
        <v>1328</v>
      </c>
      <c r="P22" s="14">
        <f t="shared" si="3"/>
        <v>1167</v>
      </c>
      <c r="Q22" s="14">
        <f t="shared" si="3"/>
        <v>927</v>
      </c>
      <c r="R22" s="14">
        <f t="shared" si="3"/>
        <v>992</v>
      </c>
      <c r="S22" s="14">
        <f t="shared" si="3"/>
        <v>1451</v>
      </c>
    </row>
    <row r="23" spans="1:19" ht="16.5">
      <c r="A23" s="12"/>
      <c r="B23" s="2" t="s">
        <v>251</v>
      </c>
      <c r="C23" s="12"/>
      <c r="D23" s="12"/>
      <c r="E23" s="16">
        <f>SUM('QTD P&amp;L'!E22:H22)</f>
        <v>52</v>
      </c>
      <c r="F23" s="16">
        <f>SUM('QTD P&amp;L'!F22:I22)</f>
        <v>39</v>
      </c>
      <c r="G23" s="16">
        <f>SUM('QTD P&amp;L'!G22:J22)</f>
        <v>18</v>
      </c>
      <c r="H23" s="16">
        <f>SUM('QTD P&amp;L'!H22:K22)</f>
        <v>8</v>
      </c>
      <c r="I23" s="16">
        <f>SUM('QTD P&amp;L'!I22:L22)</f>
        <v>9</v>
      </c>
      <c r="J23" s="16">
        <f>SUM('QTD P&amp;L'!J22:M22)</f>
        <v>12</v>
      </c>
      <c r="K23" s="16">
        <f>SUM('QTD P&amp;L'!K22:N22)</f>
        <v>23</v>
      </c>
      <c r="L23" s="16">
        <f>SUM('QTD P&amp;L'!L22:O22)</f>
        <v>25</v>
      </c>
      <c r="M23" s="16">
        <f>SUM('QTD P&amp;L'!M22:P22)</f>
        <v>26</v>
      </c>
      <c r="N23" s="16">
        <f>SUM('QTD P&amp;L'!N22:Q22)</f>
        <v>15</v>
      </c>
      <c r="O23" s="16">
        <v>3</v>
      </c>
      <c r="P23" s="16">
        <f>SUM('QTD P&amp;L'!P22:S22)</f>
        <v>1</v>
      </c>
      <c r="Q23" s="16">
        <f>SUM('QTD P&amp;L'!Q22:T22)</f>
        <v>1</v>
      </c>
      <c r="R23" s="16">
        <f>SUM('QTD P&amp;L'!R22:U22)</f>
        <v>-1</v>
      </c>
      <c r="S23" s="16">
        <v>7</v>
      </c>
    </row>
    <row r="24" spans="1:19">
      <c r="A24" s="12"/>
      <c r="B24" s="22" t="s">
        <v>52</v>
      </c>
      <c r="C24" s="4"/>
      <c r="D24" s="12"/>
      <c r="E24" s="15">
        <f t="shared" ref="E24:M24" si="4">SUM(E22:E23)</f>
        <v>107</v>
      </c>
      <c r="F24" s="15">
        <f t="shared" si="4"/>
        <v>297</v>
      </c>
      <c r="G24" s="15">
        <f t="shared" si="4"/>
        <v>-8</v>
      </c>
      <c r="H24" s="15">
        <f t="shared" si="4"/>
        <v>314</v>
      </c>
      <c r="I24" s="15">
        <f t="shared" si="4"/>
        <v>397</v>
      </c>
      <c r="J24" s="15">
        <f t="shared" si="4"/>
        <v>446</v>
      </c>
      <c r="K24" s="15">
        <f t="shared" si="4"/>
        <v>492</v>
      </c>
      <c r="L24" s="15">
        <f t="shared" si="4"/>
        <v>657</v>
      </c>
      <c r="M24" s="15">
        <f t="shared" si="4"/>
        <v>825</v>
      </c>
      <c r="N24" s="15">
        <f t="shared" ref="N24:S24" si="5">SUM(N22:N23)</f>
        <v>921</v>
      </c>
      <c r="O24" s="15">
        <f t="shared" si="5"/>
        <v>1331</v>
      </c>
      <c r="P24" s="15">
        <f t="shared" si="5"/>
        <v>1168</v>
      </c>
      <c r="Q24" s="15">
        <f t="shared" si="5"/>
        <v>928</v>
      </c>
      <c r="R24" s="15">
        <f t="shared" si="5"/>
        <v>991</v>
      </c>
      <c r="S24" s="15">
        <f t="shared" si="5"/>
        <v>1458</v>
      </c>
    </row>
    <row r="25" spans="1:19" ht="16.5">
      <c r="A25" s="12"/>
      <c r="B25" s="2" t="s">
        <v>53</v>
      </c>
      <c r="C25" s="4"/>
      <c r="D25" s="12"/>
      <c r="E25" s="16">
        <f>SUM('QTD P&amp;L'!E24:H24)</f>
        <v>-97</v>
      </c>
      <c r="F25" s="16">
        <f>SUM('QTD P&amp;L'!F24:I24)</f>
        <v>-30</v>
      </c>
      <c r="G25" s="16">
        <f>SUM('QTD P&amp;L'!G24:J24)</f>
        <v>-121</v>
      </c>
      <c r="H25" s="16">
        <f>SUM('QTD P&amp;L'!H24:K24)</f>
        <v>9</v>
      </c>
      <c r="I25" s="16">
        <f>SUM('QTD P&amp;L'!I24:L24)</f>
        <v>68</v>
      </c>
      <c r="J25" s="16">
        <f>SUM('QTD P&amp;L'!J24:M24)</f>
        <v>81</v>
      </c>
      <c r="K25" s="16">
        <f>SUM('QTD P&amp;L'!K24:N24)</f>
        <v>74</v>
      </c>
      <c r="L25" s="16">
        <f>SUM('QTD P&amp;L'!L24:O24)</f>
        <v>117</v>
      </c>
      <c r="M25" s="16">
        <f>SUM('QTD P&amp;L'!M24:P24)</f>
        <v>169</v>
      </c>
      <c r="N25" s="16">
        <f>SUM('QTD P&amp;L'!N24:Q24)</f>
        <v>168</v>
      </c>
      <c r="O25" s="16">
        <v>246</v>
      </c>
      <c r="P25" s="16">
        <f>SUM('QTD P&amp;L'!P24:S24)</f>
        <v>202</v>
      </c>
      <c r="Q25" s="16">
        <f>SUM('QTD P&amp;L'!Q24:T24)</f>
        <v>112</v>
      </c>
      <c r="R25" s="16">
        <f>SUM('QTD P&amp;L'!R24:U24)</f>
        <v>97</v>
      </c>
      <c r="S25" s="16">
        <v>309</v>
      </c>
    </row>
    <row r="26" spans="1:19" ht="16.5">
      <c r="A26" s="9"/>
      <c r="B26" s="25" t="s">
        <v>2</v>
      </c>
      <c r="C26" s="9"/>
      <c r="D26" s="9"/>
      <c r="E26" s="17">
        <f t="shared" ref="E26:M26" si="6">E24-E25</f>
        <v>204</v>
      </c>
      <c r="F26" s="17">
        <f t="shared" si="6"/>
        <v>327</v>
      </c>
      <c r="G26" s="17">
        <f t="shared" si="6"/>
        <v>113</v>
      </c>
      <c r="H26" s="17">
        <f t="shared" si="6"/>
        <v>305</v>
      </c>
      <c r="I26" s="17">
        <f t="shared" si="6"/>
        <v>329</v>
      </c>
      <c r="J26" s="17">
        <f t="shared" si="6"/>
        <v>365</v>
      </c>
      <c r="K26" s="17">
        <f t="shared" si="6"/>
        <v>418</v>
      </c>
      <c r="L26" s="17">
        <f t="shared" si="6"/>
        <v>540</v>
      </c>
      <c r="M26" s="17">
        <f t="shared" si="6"/>
        <v>656</v>
      </c>
      <c r="N26" s="17">
        <f t="shared" ref="N26:S26" si="7">N24-N25</f>
        <v>753</v>
      </c>
      <c r="O26" s="17">
        <f t="shared" si="7"/>
        <v>1085</v>
      </c>
      <c r="P26" s="17">
        <f t="shared" si="7"/>
        <v>966</v>
      </c>
      <c r="Q26" s="17">
        <f t="shared" si="7"/>
        <v>816</v>
      </c>
      <c r="R26" s="17">
        <f t="shared" si="7"/>
        <v>894</v>
      </c>
      <c r="S26" s="17">
        <f t="shared" si="7"/>
        <v>1149</v>
      </c>
    </row>
    <row r="27" spans="1:19" ht="9.75" customHeight="1">
      <c r="A27" s="9"/>
      <c r="B27" s="25"/>
      <c r="C27" s="9"/>
      <c r="D27" s="9"/>
      <c r="E27" s="524"/>
      <c r="F27" s="17"/>
      <c r="G27" s="524"/>
      <c r="H27" s="524"/>
      <c r="I27" s="524"/>
      <c r="J27" s="17"/>
      <c r="K27" s="524"/>
      <c r="L27" s="524"/>
      <c r="M27" s="524"/>
      <c r="N27" s="17"/>
      <c r="O27" s="17"/>
      <c r="P27" s="17"/>
      <c r="Q27" s="17"/>
      <c r="R27" s="17"/>
      <c r="S27" s="17"/>
    </row>
    <row r="28" spans="1:19" s="52" customFormat="1">
      <c r="A28" s="62"/>
      <c r="B28" s="63" t="s">
        <v>32</v>
      </c>
      <c r="C28" s="63"/>
      <c r="D28" s="63"/>
      <c r="E28" s="525"/>
      <c r="F28" s="64"/>
      <c r="G28" s="525"/>
      <c r="H28" s="525"/>
      <c r="I28" s="525"/>
      <c r="J28" s="64"/>
      <c r="K28" s="525"/>
      <c r="L28" s="525"/>
      <c r="M28" s="525"/>
      <c r="N28" s="64"/>
      <c r="O28" s="64"/>
      <c r="P28" s="64"/>
      <c r="Q28" s="64"/>
      <c r="R28" s="64"/>
      <c r="S28" s="64"/>
    </row>
    <row r="29" spans="1:19" s="52" customFormat="1">
      <c r="A29" s="62"/>
      <c r="B29" s="63"/>
      <c r="C29" s="517" t="s">
        <v>34</v>
      </c>
      <c r="D29" s="63"/>
      <c r="E29" s="66">
        <f>SUM('QTD P&amp;L'!E28:H28)</f>
        <v>0.16</v>
      </c>
      <c r="F29" s="66">
        <f>SUM('QTD P&amp;L'!F28:I28)</f>
        <v>0.25</v>
      </c>
      <c r="G29" s="66">
        <v>9.0000000000000038E-2</v>
      </c>
      <c r="H29" s="66">
        <f>SUM('QTD P&amp;L'!H28:K28)</f>
        <v>0.22999999999999998</v>
      </c>
      <c r="I29" s="66">
        <f>SUM('QTD P&amp;L'!I28:L28)</f>
        <v>0.26</v>
      </c>
      <c r="J29" s="66">
        <f>SUM('QTD P&amp;L'!J28:M28)</f>
        <v>0.28999999999999998</v>
      </c>
      <c r="K29" s="66">
        <v>0.34</v>
      </c>
      <c r="L29" s="66">
        <f>SUM('QTD P&amp;L'!L28:O28)</f>
        <v>0.43999999999999995</v>
      </c>
      <c r="M29" s="66">
        <f>SUM('QTD P&amp;L'!M28:P28)</f>
        <v>0.55000000000000004</v>
      </c>
      <c r="N29" s="66">
        <f>SUM('QTD P&amp;L'!N28:Q28)</f>
        <v>0.64</v>
      </c>
      <c r="O29" s="66">
        <f>SUM('QTD P&amp;L'!O28:R28)</f>
        <v>0.92999999999999994</v>
      </c>
      <c r="P29" s="66">
        <f>SUM('QTD P&amp;L'!P28:S28)</f>
        <v>0.85000000000000009</v>
      </c>
      <c r="Q29" s="66">
        <f>SUM('QTD P&amp;L'!Q28:T28)</f>
        <v>0.72000000000000008</v>
      </c>
      <c r="R29" s="66">
        <f>SUM('QTD P&amp;L'!R28:U28)</f>
        <v>0.79</v>
      </c>
      <c r="S29" s="66">
        <v>1.01</v>
      </c>
    </row>
    <row r="30" spans="1:19" s="52" customFormat="1">
      <c r="A30" s="62"/>
      <c r="B30" s="63"/>
      <c r="C30" s="517" t="s">
        <v>35</v>
      </c>
      <c r="D30" s="63"/>
      <c r="E30" s="66">
        <f>SUM('QTD P&amp;L'!E29:H29)</f>
        <v>0.16</v>
      </c>
      <c r="F30" s="66">
        <f>SUM('QTD P&amp;L'!F29:I29)</f>
        <v>0.25</v>
      </c>
      <c r="G30" s="66">
        <v>9.0000000000000038E-2</v>
      </c>
      <c r="H30" s="66">
        <f>SUM('QTD P&amp;L'!H29:K29)</f>
        <v>0.22999999999999998</v>
      </c>
      <c r="I30" s="66">
        <f>SUM('QTD P&amp;L'!I29:L29)</f>
        <v>0.25</v>
      </c>
      <c r="J30" s="66">
        <f>SUM('QTD P&amp;L'!J29:M29)</f>
        <v>0.27999999999999997</v>
      </c>
      <c r="K30" s="66">
        <v>0.33</v>
      </c>
      <c r="L30" s="66">
        <f>SUM('QTD P&amp;L'!L29:O29)</f>
        <v>0.43</v>
      </c>
      <c r="M30" s="66">
        <f>SUM('QTD P&amp;L'!M29:P29)</f>
        <v>0.55000000000000004</v>
      </c>
      <c r="N30" s="66">
        <f>SUM('QTD P&amp;L'!N29:Q29)</f>
        <v>0.64</v>
      </c>
      <c r="O30" s="66">
        <f>SUM('QTD P&amp;L'!O29:R29)</f>
        <v>0.91999999999999993</v>
      </c>
      <c r="P30" s="66">
        <f>SUM('QTD P&amp;L'!P29:S29)</f>
        <v>0.83000000000000007</v>
      </c>
      <c r="Q30" s="66">
        <f>SUM('QTD P&amp;L'!Q29:T29)</f>
        <v>0.70000000000000007</v>
      </c>
      <c r="R30" s="66">
        <f>SUM('QTD P&amp;L'!R29:U29)</f>
        <v>0.77</v>
      </c>
      <c r="S30" s="66">
        <v>1.01</v>
      </c>
    </row>
    <row r="31" spans="1:19" s="52" customFormat="1" ht="4.1500000000000004" customHeight="1">
      <c r="A31" s="62"/>
      <c r="B31" s="63"/>
      <c r="C31" s="63"/>
      <c r="D31" s="63"/>
      <c r="E31" s="526"/>
      <c r="G31" s="526"/>
      <c r="H31" s="526"/>
      <c r="I31" s="526"/>
      <c r="K31" s="526"/>
      <c r="L31" s="526"/>
      <c r="M31" s="476"/>
      <c r="N31" s="476"/>
      <c r="O31" s="476"/>
      <c r="P31" s="476"/>
      <c r="Q31" s="476"/>
      <c r="R31" s="476"/>
      <c r="S31" s="476"/>
    </row>
    <row r="32" spans="1:19" s="52" customFormat="1">
      <c r="A32" s="62"/>
      <c r="B32" s="67" t="s">
        <v>33</v>
      </c>
      <c r="C32" s="62"/>
      <c r="D32" s="63"/>
      <c r="E32" s="526"/>
      <c r="G32" s="526"/>
      <c r="H32" s="526"/>
      <c r="I32" s="526"/>
      <c r="K32" s="526"/>
      <c r="L32" s="526"/>
      <c r="M32" s="476"/>
      <c r="N32" s="476"/>
      <c r="O32" s="476"/>
      <c r="P32" s="476"/>
      <c r="Q32" s="476"/>
      <c r="R32" s="476"/>
      <c r="S32" s="476"/>
    </row>
    <row r="33" spans="1:19" s="52" customFormat="1">
      <c r="A33" s="62"/>
      <c r="B33" s="63"/>
      <c r="C33" s="65" t="s">
        <v>34</v>
      </c>
      <c r="D33" s="63"/>
      <c r="E33" s="68">
        <f>AVERAGE('QTD P&amp;L'!E32:H32)</f>
        <v>1298.5</v>
      </c>
      <c r="F33" s="68">
        <f>AVERAGE('QTD P&amp;L'!F32:I32)</f>
        <v>1298.5</v>
      </c>
      <c r="G33" s="68">
        <f>AVERAGE('QTD P&amp;L'!G32:J32)</f>
        <v>1283.25</v>
      </c>
      <c r="H33" s="68">
        <f>AVERAGE('QTD P&amp;L'!H32:K32)</f>
        <v>1268.25</v>
      </c>
      <c r="I33" s="68">
        <f>AVERAGE('QTD P&amp;L'!I32:L32)</f>
        <v>1254</v>
      </c>
      <c r="J33" s="68">
        <f>AVERAGE('QTD P&amp;L'!J32:M32)</f>
        <v>1239.25</v>
      </c>
      <c r="K33" s="68">
        <v>1222</v>
      </c>
      <c r="L33" s="68">
        <f>AVERAGE('QTD P&amp;L'!L32:O32)</f>
        <v>1203.75</v>
      </c>
      <c r="M33" s="68">
        <f>AVERAGE('QTD P&amp;L'!M32:P32)</f>
        <v>1181</v>
      </c>
      <c r="N33" s="68">
        <f>AVERAGE('QTD P&amp;L'!N32:Q32)</f>
        <v>1163</v>
      </c>
      <c r="O33" s="68">
        <v>1148</v>
      </c>
      <c r="P33" s="68">
        <f>AVERAGE('QTD P&amp;L'!P32:S32)</f>
        <v>1135</v>
      </c>
      <c r="Q33" s="68">
        <f>AVERAGE('QTD P&amp;L'!Q32:T32)</f>
        <v>1127</v>
      </c>
      <c r="R33" s="68">
        <f>AVERAGE('QTD P&amp;L'!R32:U32)</f>
        <v>1119.25</v>
      </c>
      <c r="S33" s="68">
        <v>1112</v>
      </c>
    </row>
    <row r="34" spans="1:19" s="52" customFormat="1">
      <c r="A34" s="62"/>
      <c r="B34" s="63"/>
      <c r="C34" s="65" t="s">
        <v>35</v>
      </c>
      <c r="D34" s="63"/>
      <c r="E34" s="68">
        <f>AVERAGE('QTD P&amp;L'!E33:H33)</f>
        <v>1322</v>
      </c>
      <c r="F34" s="68">
        <f>AVERAGE('QTD P&amp;L'!F33:I33)</f>
        <v>1328.5</v>
      </c>
      <c r="G34" s="68">
        <f>AVERAGE('QTD P&amp;L'!G33:J33)</f>
        <v>1313.25</v>
      </c>
      <c r="H34" s="68">
        <f>AVERAGE('QTD P&amp;L'!H33:K33)</f>
        <v>1289.5</v>
      </c>
      <c r="I34" s="68">
        <f>AVERAGE('QTD P&amp;L'!I33:L33)</f>
        <v>1268.5</v>
      </c>
      <c r="J34" s="68">
        <f>AVERAGE('QTD P&amp;L'!J33:M33)</f>
        <v>1251</v>
      </c>
      <c r="K34" s="68">
        <v>1236</v>
      </c>
      <c r="L34" s="68">
        <f>AVERAGE('QTD P&amp;L'!L33:O33)</f>
        <v>1213.75</v>
      </c>
      <c r="M34" s="68">
        <f>AVERAGE('QTD P&amp;L'!M33:P33)</f>
        <v>1189.25</v>
      </c>
      <c r="N34" s="68">
        <f>AVERAGE('QTD P&amp;L'!N33:Q33)</f>
        <v>1169.5</v>
      </c>
      <c r="O34" s="68">
        <v>1156</v>
      </c>
      <c r="P34" s="68">
        <f>AVERAGE('QTD P&amp;L'!P33:S33)</f>
        <v>1143</v>
      </c>
      <c r="Q34" s="68">
        <f>AVERAGE('QTD P&amp;L'!Q33:T33)</f>
        <v>1134.25</v>
      </c>
      <c r="R34" s="68">
        <f>AVERAGE('QTD P&amp;L'!R33:U33)</f>
        <v>1125.75</v>
      </c>
      <c r="S34" s="68">
        <v>1118</v>
      </c>
    </row>
    <row r="35" spans="1:19" s="52" customFormat="1">
      <c r="A35" s="62"/>
      <c r="B35" s="63"/>
      <c r="C35" s="65"/>
      <c r="D35" s="63"/>
      <c r="E35" s="70"/>
      <c r="F35" s="70"/>
      <c r="G35" s="70"/>
      <c r="H35" s="70"/>
      <c r="I35" s="70"/>
      <c r="J35" s="70"/>
      <c r="K35" s="70"/>
      <c r="L35" s="70"/>
      <c r="M35" s="477"/>
      <c r="N35" s="477"/>
      <c r="O35" s="477"/>
      <c r="P35" s="477"/>
      <c r="Q35" s="477"/>
      <c r="R35" s="477"/>
      <c r="S35" s="477"/>
    </row>
    <row r="36" spans="1:19">
      <c r="A36" s="20" t="s">
        <v>38</v>
      </c>
      <c r="B36" s="29"/>
      <c r="C36" s="18"/>
      <c r="D36" s="29"/>
      <c r="E36" s="34"/>
      <c r="F36" s="34"/>
      <c r="G36" s="34"/>
      <c r="H36" s="34"/>
      <c r="I36" s="34"/>
      <c r="J36" s="34"/>
      <c r="K36" s="34"/>
      <c r="L36" s="34"/>
      <c r="M36" s="478"/>
      <c r="N36" s="478"/>
      <c r="O36" s="478"/>
      <c r="P36" s="478"/>
      <c r="Q36" s="478"/>
      <c r="R36" s="478"/>
      <c r="S36" s="478"/>
    </row>
    <row r="37" spans="1:19">
      <c r="A37" s="32"/>
      <c r="B37" s="29"/>
      <c r="C37" s="18"/>
      <c r="D37" s="29"/>
      <c r="E37" s="19" t="str">
        <f t="shared" ref="E37:M38" si="8">E6</f>
        <v>Q2</v>
      </c>
      <c r="F37" s="19" t="str">
        <f t="shared" si="8"/>
        <v>Q3</v>
      </c>
      <c r="G37" s="19" t="str">
        <f t="shared" si="8"/>
        <v>Q4</v>
      </c>
      <c r="H37" s="19" t="str">
        <f t="shared" si="8"/>
        <v>Q1</v>
      </c>
      <c r="I37" s="19" t="str">
        <f t="shared" si="8"/>
        <v>Q2</v>
      </c>
      <c r="J37" s="19" t="str">
        <f t="shared" si="8"/>
        <v>Q3</v>
      </c>
      <c r="K37" s="19" t="str">
        <f t="shared" si="8"/>
        <v>Q4</v>
      </c>
      <c r="L37" s="19" t="str">
        <f t="shared" si="8"/>
        <v>Q1</v>
      </c>
      <c r="M37" s="19" t="str">
        <f t="shared" si="8"/>
        <v>Q2</v>
      </c>
      <c r="N37" s="19" t="str">
        <f t="shared" ref="N37:O37" si="9">N6</f>
        <v>Q3</v>
      </c>
      <c r="O37" s="19" t="str">
        <f t="shared" si="9"/>
        <v>Q4</v>
      </c>
      <c r="P37" s="19" t="str">
        <f t="shared" ref="P37:Q37" si="10">P6</f>
        <v>Q1</v>
      </c>
      <c r="Q37" s="19" t="str">
        <f t="shared" si="10"/>
        <v>Q2</v>
      </c>
      <c r="R37" s="19" t="str">
        <f t="shared" ref="R37:S37" si="11">R6</f>
        <v>Q3</v>
      </c>
      <c r="S37" s="19" t="str">
        <f t="shared" si="11"/>
        <v>Q4</v>
      </c>
    </row>
    <row r="38" spans="1:19">
      <c r="A38" s="32"/>
      <c r="B38" s="29"/>
      <c r="C38" s="18"/>
      <c r="D38" s="29"/>
      <c r="E38" s="19" t="str">
        <f t="shared" si="8"/>
        <v>CY09</v>
      </c>
      <c r="F38" s="19" t="str">
        <f t="shared" si="8"/>
        <v>CY09</v>
      </c>
      <c r="G38" s="19" t="str">
        <f t="shared" si="8"/>
        <v>CY09</v>
      </c>
      <c r="H38" s="19" t="str">
        <f t="shared" si="8"/>
        <v>CY10</v>
      </c>
      <c r="I38" s="19" t="str">
        <f t="shared" si="8"/>
        <v>CY10</v>
      </c>
      <c r="J38" s="19" t="str">
        <f t="shared" si="8"/>
        <v>CY10</v>
      </c>
      <c r="K38" s="19" t="str">
        <f t="shared" si="8"/>
        <v>CY10</v>
      </c>
      <c r="L38" s="19" t="str">
        <f t="shared" si="8"/>
        <v>CY11</v>
      </c>
      <c r="M38" s="19" t="str">
        <f t="shared" si="8"/>
        <v>CY11</v>
      </c>
      <c r="N38" s="19" t="str">
        <f t="shared" ref="N38:O38" si="12">N7</f>
        <v>CY11</v>
      </c>
      <c r="O38" s="19" t="str">
        <f t="shared" si="12"/>
        <v>CY11</v>
      </c>
      <c r="P38" s="19" t="str">
        <f t="shared" ref="P38:Q38" si="13">P7</f>
        <v>CY12</v>
      </c>
      <c r="Q38" s="19" t="str">
        <f t="shared" si="13"/>
        <v>CY12</v>
      </c>
      <c r="R38" s="19" t="str">
        <f t="shared" ref="R38:S38" si="14">R7</f>
        <v>CY12</v>
      </c>
      <c r="S38" s="19" t="str">
        <f t="shared" si="14"/>
        <v>CY12</v>
      </c>
    </row>
    <row r="39" spans="1:19">
      <c r="A39" s="32"/>
      <c r="B39" s="29"/>
      <c r="C39" s="18"/>
      <c r="D39" s="29"/>
      <c r="E39" s="45" t="s">
        <v>230</v>
      </c>
      <c r="F39" s="45" t="s">
        <v>230</v>
      </c>
      <c r="G39" s="45" t="s">
        <v>230</v>
      </c>
      <c r="H39" s="45" t="s">
        <v>230</v>
      </c>
      <c r="I39" s="45" t="s">
        <v>230</v>
      </c>
      <c r="J39" s="45" t="s">
        <v>230</v>
      </c>
      <c r="K39" s="45" t="s">
        <v>230</v>
      </c>
      <c r="L39" s="45" t="s">
        <v>230</v>
      </c>
      <c r="M39" s="45" t="s">
        <v>230</v>
      </c>
      <c r="N39" s="45" t="s">
        <v>230</v>
      </c>
      <c r="O39" s="45" t="s">
        <v>230</v>
      </c>
      <c r="P39" s="45" t="s">
        <v>230</v>
      </c>
      <c r="Q39" s="45" t="s">
        <v>230</v>
      </c>
      <c r="R39" s="45" t="s">
        <v>230</v>
      </c>
      <c r="S39" s="45" t="s">
        <v>230</v>
      </c>
    </row>
    <row r="40" spans="1:19">
      <c r="A40" s="32"/>
      <c r="B40" s="29"/>
      <c r="C40" s="18"/>
      <c r="D40" s="29"/>
      <c r="E40" s="34"/>
      <c r="F40" s="34"/>
      <c r="G40" s="34"/>
      <c r="H40" s="34"/>
      <c r="I40" s="34"/>
      <c r="J40" s="34"/>
      <c r="K40" s="34"/>
      <c r="L40" s="34"/>
      <c r="M40" s="34"/>
      <c r="N40" s="34"/>
      <c r="O40" s="34"/>
      <c r="P40" s="34"/>
      <c r="Q40" s="34"/>
      <c r="R40" s="34"/>
      <c r="S40" s="34"/>
    </row>
    <row r="41" spans="1:19">
      <c r="A41" s="32"/>
      <c r="B41" s="1" t="s">
        <v>215</v>
      </c>
      <c r="C41" s="18"/>
      <c r="D41" s="29"/>
      <c r="E41" s="34"/>
      <c r="F41" s="34"/>
      <c r="G41" s="34"/>
      <c r="H41" s="34"/>
      <c r="I41" s="34"/>
      <c r="J41" s="34"/>
      <c r="K41" s="34"/>
      <c r="L41" s="34"/>
      <c r="M41" s="34"/>
      <c r="N41" s="34"/>
      <c r="O41" s="34"/>
      <c r="P41" s="34"/>
      <c r="Q41" s="34"/>
      <c r="R41" s="34"/>
      <c r="S41" s="34"/>
    </row>
    <row r="42" spans="1:19" s="48" customFormat="1">
      <c r="A42" s="10"/>
      <c r="C42" s="2" t="s">
        <v>226</v>
      </c>
      <c r="D42" s="10"/>
      <c r="E42" s="39">
        <f t="shared" ref="E42:M42" si="15">E12/E$10</f>
        <v>0.38017853055619133</v>
      </c>
      <c r="F42" s="39">
        <f t="shared" si="15"/>
        <v>0.35932125659252467</v>
      </c>
      <c r="G42" s="39">
        <f t="shared" si="15"/>
        <v>0.33465763028745033</v>
      </c>
      <c r="H42" s="39">
        <f t="shared" si="15"/>
        <v>0.31980026052974381</v>
      </c>
      <c r="I42" s="39">
        <f t="shared" si="15"/>
        <v>0.31466372657111358</v>
      </c>
      <c r="J42" s="39">
        <f t="shared" si="15"/>
        <v>0.31374262617435</v>
      </c>
      <c r="K42" s="39">
        <f t="shared" si="15"/>
        <v>0.30357544411963122</v>
      </c>
      <c r="L42" s="39">
        <f t="shared" si="15"/>
        <v>0.28618134263295553</v>
      </c>
      <c r="M42" s="39">
        <f t="shared" si="15"/>
        <v>0.27082022236207259</v>
      </c>
      <c r="N42" s="39">
        <f t="shared" ref="N42:O56" si="16">N12/N$10</f>
        <v>0.25858458961474035</v>
      </c>
      <c r="O42" s="39">
        <f t="shared" si="16"/>
        <v>0.2384858044164038</v>
      </c>
      <c r="P42" s="39">
        <f t="shared" ref="P42:Q56" si="17">P12/P$10</f>
        <v>0.24358115650814913</v>
      </c>
      <c r="Q42" s="39">
        <f t="shared" si="17"/>
        <v>0.25113430127041741</v>
      </c>
      <c r="R42" s="39">
        <f t="shared" ref="R42:S56" si="18">R12/R$10</f>
        <v>0.24805339265850945</v>
      </c>
      <c r="S42" s="39">
        <f t="shared" si="18"/>
        <v>0.2298187808896211</v>
      </c>
    </row>
    <row r="43" spans="1:19" s="48" customFormat="1">
      <c r="A43" s="10"/>
      <c r="C43" s="2" t="s">
        <v>256</v>
      </c>
      <c r="D43" s="10"/>
      <c r="E43" s="39">
        <f t="shared" ref="E43:M43" si="19">E13/E$10</f>
        <v>4.5548180361638817E-2</v>
      </c>
      <c r="F43" s="39">
        <f t="shared" si="19"/>
        <v>4.8383398303141478E-2</v>
      </c>
      <c r="G43" s="39">
        <f t="shared" si="19"/>
        <v>4.9544286048142087E-2</v>
      </c>
      <c r="H43" s="39">
        <f t="shared" si="19"/>
        <v>4.7329570125922711E-2</v>
      </c>
      <c r="I43" s="39">
        <f t="shared" si="19"/>
        <v>4.8952590959206177E-2</v>
      </c>
      <c r="J43" s="39">
        <f t="shared" si="19"/>
        <v>5.0469740004369677E-2</v>
      </c>
      <c r="K43" s="39">
        <f t="shared" si="19"/>
        <v>5.621767483696874E-2</v>
      </c>
      <c r="L43" s="39">
        <f t="shared" si="19"/>
        <v>5.6887532693984305E-2</v>
      </c>
      <c r="M43" s="39">
        <f t="shared" si="19"/>
        <v>5.6219844766100271E-2</v>
      </c>
      <c r="N43" s="39">
        <f t="shared" si="16"/>
        <v>5.5904522613065326E-2</v>
      </c>
      <c r="O43" s="39">
        <f t="shared" si="16"/>
        <v>5.362776025236593E-2</v>
      </c>
      <c r="P43" s="39">
        <f t="shared" si="17"/>
        <v>5.7825407457021659E-2</v>
      </c>
      <c r="Q43" s="39">
        <f t="shared" si="17"/>
        <v>6.0798548094373864E-2</v>
      </c>
      <c r="R43" s="39">
        <f t="shared" si="18"/>
        <v>5.9399332591768633E-2</v>
      </c>
      <c r="S43" s="39">
        <f t="shared" si="18"/>
        <v>5.4159802306425038E-2</v>
      </c>
    </row>
    <row r="44" spans="1:19" s="48" customFormat="1">
      <c r="A44" s="10"/>
      <c r="C44" s="2" t="s">
        <v>224</v>
      </c>
      <c r="D44" s="10"/>
      <c r="E44" s="39">
        <f t="shared" ref="E44:M44" si="20">E14/E$10</f>
        <v>8.8578622110322733E-2</v>
      </c>
      <c r="F44" s="39">
        <f t="shared" si="20"/>
        <v>8.9658335244210047E-2</v>
      </c>
      <c r="G44" s="39">
        <f t="shared" si="20"/>
        <v>8.1327412946950228E-2</v>
      </c>
      <c r="H44" s="39">
        <f t="shared" si="20"/>
        <v>8.1415544941380813E-2</v>
      </c>
      <c r="I44" s="39">
        <f t="shared" si="20"/>
        <v>7.4972436604189632E-2</v>
      </c>
      <c r="J44" s="39">
        <f t="shared" si="20"/>
        <v>7.5813851868035825E-2</v>
      </c>
      <c r="K44" s="39">
        <f t="shared" si="20"/>
        <v>7.6006296379581742E-2</v>
      </c>
      <c r="L44" s="39">
        <f t="shared" si="20"/>
        <v>6.560592850915431E-2</v>
      </c>
      <c r="M44" s="39">
        <f t="shared" si="20"/>
        <v>6.2303335431088736E-2</v>
      </c>
      <c r="N44" s="39">
        <f t="shared" si="16"/>
        <v>5.443886097152429E-2</v>
      </c>
      <c r="O44" s="39">
        <f t="shared" si="16"/>
        <v>4.5846477392218719E-2</v>
      </c>
      <c r="P44" s="39">
        <f t="shared" si="17"/>
        <v>4.1750390712212544E-2</v>
      </c>
      <c r="Q44" s="39">
        <f t="shared" si="17"/>
        <v>4.4691470054446458E-2</v>
      </c>
      <c r="R44" s="39">
        <f t="shared" si="18"/>
        <v>4.2714126807563958E-2</v>
      </c>
      <c r="S44" s="39">
        <f t="shared" si="18"/>
        <v>3.9950576606260293E-2</v>
      </c>
    </row>
    <row r="45" spans="1:19" s="48" customFormat="1">
      <c r="A45" s="10"/>
      <c r="C45" s="2" t="s">
        <v>225</v>
      </c>
      <c r="D45" s="10"/>
      <c r="E45" s="39">
        <f t="shared" ref="E45:M45" si="21">E15/E$10</f>
        <v>7.5074387731746392E-2</v>
      </c>
      <c r="F45" s="39">
        <f t="shared" si="21"/>
        <v>7.7275854161889479E-2</v>
      </c>
      <c r="G45" s="39">
        <f t="shared" si="21"/>
        <v>7.3615330684739425E-2</v>
      </c>
      <c r="H45" s="39">
        <f t="shared" si="21"/>
        <v>6.3829787234042548E-2</v>
      </c>
      <c r="I45" s="39">
        <f t="shared" si="21"/>
        <v>5.9316427783902975E-2</v>
      </c>
      <c r="J45" s="39">
        <f t="shared" si="21"/>
        <v>5.6150316801398294E-2</v>
      </c>
      <c r="K45" s="39">
        <f t="shared" si="21"/>
        <v>4.4299527771531372E-2</v>
      </c>
      <c r="L45" s="39">
        <f t="shared" si="21"/>
        <v>3.9886660854402789E-2</v>
      </c>
      <c r="M45" s="39">
        <f t="shared" si="21"/>
        <v>3.7340046150618839E-2</v>
      </c>
      <c r="N45" s="39">
        <f t="shared" si="16"/>
        <v>3.3710217755443889E-2</v>
      </c>
      <c r="O45" s="39">
        <f t="shared" si="16"/>
        <v>3.4700315457413249E-2</v>
      </c>
      <c r="P45" s="39">
        <f t="shared" si="17"/>
        <v>3.1926769368162536E-2</v>
      </c>
      <c r="Q45" s="39">
        <f t="shared" si="17"/>
        <v>3.1533575317604354E-2</v>
      </c>
      <c r="R45" s="39">
        <f t="shared" si="18"/>
        <v>2.9588431590656286E-2</v>
      </c>
      <c r="S45" s="39">
        <f t="shared" si="18"/>
        <v>1.8327841845140032E-2</v>
      </c>
    </row>
    <row r="46" spans="1:19">
      <c r="A46" s="10"/>
      <c r="B46" s="10"/>
      <c r="C46" s="6" t="s">
        <v>47</v>
      </c>
      <c r="D46" s="10"/>
      <c r="E46" s="39">
        <f t="shared" ref="E46:M46" si="22">E16/E$10</f>
        <v>0.14557106889448387</v>
      </c>
      <c r="F46" s="39">
        <f t="shared" si="22"/>
        <v>0.12795230451731254</v>
      </c>
      <c r="G46" s="39">
        <f t="shared" si="22"/>
        <v>0.14652956298200515</v>
      </c>
      <c r="H46" s="39">
        <f t="shared" si="22"/>
        <v>0.1398176291793313</v>
      </c>
      <c r="I46" s="39">
        <f t="shared" si="22"/>
        <v>0.13627342888643881</v>
      </c>
      <c r="J46" s="39">
        <f t="shared" si="22"/>
        <v>0.1334935547301726</v>
      </c>
      <c r="K46" s="39">
        <f t="shared" si="22"/>
        <v>0.14076905779176974</v>
      </c>
      <c r="L46" s="39">
        <f t="shared" si="22"/>
        <v>0.13535309503051438</v>
      </c>
      <c r="M46" s="39">
        <f t="shared" si="22"/>
        <v>0.13362701908957417</v>
      </c>
      <c r="N46" s="39">
        <f t="shared" si="16"/>
        <v>0.13630653266331658</v>
      </c>
      <c r="O46" s="39">
        <f t="shared" si="16"/>
        <v>0.13228180862250263</v>
      </c>
      <c r="P46" s="39">
        <f t="shared" si="17"/>
        <v>0.13507479348068765</v>
      </c>
      <c r="Q46" s="39">
        <f t="shared" si="17"/>
        <v>0.14450998185117966</v>
      </c>
      <c r="R46" s="39">
        <f t="shared" si="18"/>
        <v>0.14082313681868744</v>
      </c>
      <c r="S46" s="39">
        <f t="shared" si="18"/>
        <v>0.1243822075782537</v>
      </c>
    </row>
    <row r="47" spans="1:19">
      <c r="A47" s="10"/>
      <c r="B47" s="10"/>
      <c r="C47" s="6" t="s">
        <v>48</v>
      </c>
      <c r="D47" s="10"/>
      <c r="E47" s="39">
        <f t="shared" ref="E47:M56" si="23">E17/E$10</f>
        <v>0.13435568780041199</v>
      </c>
      <c r="F47" s="39">
        <f t="shared" si="23"/>
        <v>0.13139188259573492</v>
      </c>
      <c r="G47" s="39">
        <f t="shared" si="23"/>
        <v>0.12713250759523254</v>
      </c>
      <c r="H47" s="39">
        <f t="shared" si="23"/>
        <v>0.11224489795918367</v>
      </c>
      <c r="I47" s="39">
        <f t="shared" si="23"/>
        <v>0.1155457552370452</v>
      </c>
      <c r="J47" s="39">
        <f t="shared" si="23"/>
        <v>0.11055276381909548</v>
      </c>
      <c r="K47" s="39">
        <f t="shared" si="23"/>
        <v>0.11603328086350348</v>
      </c>
      <c r="L47" s="39">
        <f t="shared" si="23"/>
        <v>0.11333914559721012</v>
      </c>
      <c r="M47" s="39">
        <f t="shared" si="23"/>
        <v>0.10174113698342774</v>
      </c>
      <c r="N47" s="39">
        <f t="shared" si="16"/>
        <v>0.1025963149078727</v>
      </c>
      <c r="O47" s="39">
        <f t="shared" si="16"/>
        <v>0.11461619348054679</v>
      </c>
      <c r="P47" s="39">
        <f t="shared" si="17"/>
        <v>0.12614422862246036</v>
      </c>
      <c r="Q47" s="39">
        <f t="shared" si="17"/>
        <v>0.13861161524500906</v>
      </c>
      <c r="R47" s="39">
        <f t="shared" si="18"/>
        <v>0.13948832035595105</v>
      </c>
      <c r="S47" s="39">
        <f t="shared" si="18"/>
        <v>0.11902800658978584</v>
      </c>
    </row>
    <row r="48" spans="1:19">
      <c r="A48" s="10"/>
      <c r="B48" s="10"/>
      <c r="C48" s="6" t="s">
        <v>49</v>
      </c>
      <c r="D48" s="10"/>
      <c r="E48" s="39">
        <f t="shared" si="23"/>
        <v>8.9951934081025406E-2</v>
      </c>
      <c r="F48" s="39">
        <f t="shared" si="23"/>
        <v>9.2868608117404258E-2</v>
      </c>
      <c r="G48" s="39">
        <f t="shared" si="23"/>
        <v>9.2311287684038332E-2</v>
      </c>
      <c r="H48" s="39">
        <f t="shared" si="23"/>
        <v>7.8593139383412947E-2</v>
      </c>
      <c r="I48" s="39">
        <f t="shared" si="23"/>
        <v>7.6074972436604188E-2</v>
      </c>
      <c r="J48" s="39">
        <f t="shared" si="23"/>
        <v>7.6906270482849023E-2</v>
      </c>
      <c r="K48" s="39">
        <f t="shared" si="23"/>
        <v>8.4326512255453109E-2</v>
      </c>
      <c r="L48" s="39">
        <f t="shared" si="23"/>
        <v>8.979947689625109E-2</v>
      </c>
      <c r="M48" s="39">
        <f t="shared" si="23"/>
        <v>9.7335850639815397E-2</v>
      </c>
      <c r="N48" s="39">
        <f t="shared" si="16"/>
        <v>9.526800670016751E-2</v>
      </c>
      <c r="O48" s="39">
        <f t="shared" si="16"/>
        <v>9.5899053627760258E-2</v>
      </c>
      <c r="P48" s="39">
        <f t="shared" si="17"/>
        <v>0.10158517526233535</v>
      </c>
      <c r="Q48" s="39">
        <f t="shared" si="17"/>
        <v>0.11751361161524501</v>
      </c>
      <c r="R48" s="39">
        <f t="shared" si="18"/>
        <v>0.11902113459399333</v>
      </c>
      <c r="S48" s="39">
        <f t="shared" si="18"/>
        <v>0.11552718286655683</v>
      </c>
    </row>
    <row r="49" spans="1:19">
      <c r="A49" s="10"/>
      <c r="B49" s="10"/>
      <c r="C49" s="6" t="s">
        <v>50</v>
      </c>
      <c r="D49" s="10"/>
      <c r="E49" s="42">
        <f t="shared" si="23"/>
        <v>2.8152895399404899E-2</v>
      </c>
      <c r="F49" s="42">
        <f t="shared" si="23"/>
        <v>1.3987617518917679E-2</v>
      </c>
      <c r="G49" s="42">
        <f t="shared" si="23"/>
        <v>5.3750876372984343E-3</v>
      </c>
      <c r="H49" s="42">
        <f t="shared" si="23"/>
        <v>1.7368649587494573E-3</v>
      </c>
      <c r="I49" s="42">
        <f t="shared" si="23"/>
        <v>-1.5435501653803748E-3</v>
      </c>
      <c r="J49" s="42">
        <f t="shared" si="23"/>
        <v>-1.3109023377758358E-3</v>
      </c>
      <c r="K49" s="42">
        <f t="shared" si="23"/>
        <v>0</v>
      </c>
      <c r="L49" s="42">
        <f t="shared" si="23"/>
        <v>4.141238012205754E-3</v>
      </c>
      <c r="M49" s="42">
        <f t="shared" si="23"/>
        <v>4.6150618837843506E-3</v>
      </c>
      <c r="N49" s="42">
        <f t="shared" si="16"/>
        <v>5.2345058626465666E-3</v>
      </c>
      <c r="O49" s="42">
        <f t="shared" si="16"/>
        <v>5.2576235541535229E-3</v>
      </c>
      <c r="P49" s="42">
        <f t="shared" si="17"/>
        <v>1.5628488501897744E-3</v>
      </c>
      <c r="Q49" s="42">
        <f t="shared" si="17"/>
        <v>9.0744101633393826E-4</v>
      </c>
      <c r="R49" s="42">
        <f t="shared" si="18"/>
        <v>2.224694104560623E-4</v>
      </c>
      <c r="S49" s="42">
        <f t="shared" si="18"/>
        <v>0</v>
      </c>
    </row>
    <row r="50" spans="1:19" ht="16.5">
      <c r="A50" s="10"/>
      <c r="B50" s="10"/>
      <c r="C50" s="6" t="s">
        <v>51</v>
      </c>
      <c r="D50" s="10"/>
      <c r="E50" s="40">
        <f t="shared" si="23"/>
        <v>0</v>
      </c>
      <c r="F50" s="40">
        <f t="shared" si="23"/>
        <v>0</v>
      </c>
      <c r="G50" s="40">
        <f t="shared" si="23"/>
        <v>9.5583080158915631E-2</v>
      </c>
      <c r="H50" s="40">
        <f t="shared" si="23"/>
        <v>8.8797221016066005E-2</v>
      </c>
      <c r="I50" s="40">
        <f t="shared" si="23"/>
        <v>9.0187431091510478E-2</v>
      </c>
      <c r="J50" s="40">
        <f t="shared" si="23"/>
        <v>8.9359842691719468E-2</v>
      </c>
      <c r="K50" s="40">
        <f t="shared" si="23"/>
        <v>7.3307847987407235E-2</v>
      </c>
      <c r="L50" s="40">
        <f t="shared" si="23"/>
        <v>7.1054925893635573E-2</v>
      </c>
      <c r="M50" s="40">
        <f t="shared" si="23"/>
        <v>6.83868260960772E-2</v>
      </c>
      <c r="N50" s="40">
        <f t="shared" si="16"/>
        <v>6.8257956448911222E-2</v>
      </c>
      <c r="O50" s="40">
        <f t="shared" si="16"/>
        <v>0</v>
      </c>
      <c r="P50" s="40">
        <f t="shared" si="17"/>
        <v>0</v>
      </c>
      <c r="Q50" s="40">
        <f t="shared" si="17"/>
        <v>0</v>
      </c>
      <c r="R50" s="40">
        <f t="shared" si="18"/>
        <v>0</v>
      </c>
      <c r="S50" s="40">
        <f t="shared" si="18"/>
        <v>0</v>
      </c>
    </row>
    <row r="51" spans="1:19" ht="16.5">
      <c r="A51" s="10"/>
      <c r="B51" s="10"/>
      <c r="C51" s="10"/>
      <c r="D51" s="10" t="s">
        <v>214</v>
      </c>
      <c r="E51" s="40">
        <f t="shared" si="23"/>
        <v>0.9874113069352255</v>
      </c>
      <c r="F51" s="40">
        <f t="shared" si="23"/>
        <v>0.94083925705113503</v>
      </c>
      <c r="G51" s="40">
        <f t="shared" si="23"/>
        <v>1.0060761860247722</v>
      </c>
      <c r="H51" s="40">
        <f t="shared" si="23"/>
        <v>0.93356491532783326</v>
      </c>
      <c r="I51" s="40">
        <f t="shared" si="23"/>
        <v>0.91444321940463069</v>
      </c>
      <c r="J51" s="40">
        <f t="shared" si="23"/>
        <v>0.90517806423421454</v>
      </c>
      <c r="K51" s="40">
        <f t="shared" si="23"/>
        <v>0.89453564200584668</v>
      </c>
      <c r="L51" s="40">
        <f t="shared" si="23"/>
        <v>0.8622493461203139</v>
      </c>
      <c r="M51" s="40">
        <f t="shared" si="23"/>
        <v>0.83238934340255921</v>
      </c>
      <c r="N51" s="40">
        <f t="shared" si="16"/>
        <v>0.81030150753768848</v>
      </c>
      <c r="O51" s="40">
        <f t="shared" si="16"/>
        <v>0.72071503680336491</v>
      </c>
      <c r="P51" s="40">
        <f t="shared" si="17"/>
        <v>0.73945077026121897</v>
      </c>
      <c r="Q51" s="40">
        <f t="shared" si="17"/>
        <v>0.7897005444646098</v>
      </c>
      <c r="R51" s="40">
        <f t="shared" si="18"/>
        <v>0.77931034482758621</v>
      </c>
      <c r="S51" s="40">
        <f t="shared" si="18"/>
        <v>0.70119439868204281</v>
      </c>
    </row>
    <row r="52" spans="1:19">
      <c r="A52" s="11"/>
      <c r="B52" s="25" t="s">
        <v>1</v>
      </c>
      <c r="C52" s="3"/>
      <c r="D52" s="11"/>
      <c r="E52" s="38">
        <f t="shared" si="23"/>
        <v>1.2588693064774548E-2</v>
      </c>
      <c r="F52" s="38">
        <f t="shared" si="23"/>
        <v>5.916074294886494E-2</v>
      </c>
      <c r="G52" s="38">
        <f t="shared" si="23"/>
        <v>-6.0761860247721435E-3</v>
      </c>
      <c r="H52" s="38">
        <f t="shared" si="23"/>
        <v>6.6435084672166744E-2</v>
      </c>
      <c r="I52" s="38">
        <f t="shared" si="23"/>
        <v>8.555678059536935E-2</v>
      </c>
      <c r="J52" s="38">
        <f t="shared" si="23"/>
        <v>9.4821935765785445E-2</v>
      </c>
      <c r="K52" s="38">
        <f t="shared" si="23"/>
        <v>0.10546435799415337</v>
      </c>
      <c r="L52" s="38">
        <f t="shared" si="23"/>
        <v>0.13775065387968613</v>
      </c>
      <c r="M52" s="38">
        <f t="shared" si="23"/>
        <v>0.16761065659744073</v>
      </c>
      <c r="N52" s="38">
        <f t="shared" si="16"/>
        <v>0.18969849246231155</v>
      </c>
      <c r="O52" s="38">
        <f t="shared" si="16"/>
        <v>0.27928496319663509</v>
      </c>
      <c r="P52" s="38">
        <f t="shared" si="17"/>
        <v>0.26054922973878097</v>
      </c>
      <c r="Q52" s="38">
        <f t="shared" si="17"/>
        <v>0.2102994555353902</v>
      </c>
      <c r="R52" s="38">
        <f t="shared" si="18"/>
        <v>0.22068965517241379</v>
      </c>
      <c r="S52" s="38">
        <f t="shared" si="18"/>
        <v>0.29880560131795719</v>
      </c>
    </row>
    <row r="53" spans="1:19" ht="16.5">
      <c r="A53" s="12"/>
      <c r="B53" s="2" t="s">
        <v>251</v>
      </c>
      <c r="C53" s="12"/>
      <c r="D53" s="12"/>
      <c r="E53" s="40">
        <f t="shared" si="23"/>
        <v>1.1902037079423208E-2</v>
      </c>
      <c r="F53" s="40">
        <f t="shared" si="23"/>
        <v>8.9429030038981876E-3</v>
      </c>
      <c r="G53" s="40">
        <f t="shared" si="23"/>
        <v>4.2065903248422526E-3</v>
      </c>
      <c r="H53" s="40">
        <f t="shared" si="23"/>
        <v>1.7368649587494573E-3</v>
      </c>
      <c r="I53" s="40">
        <f t="shared" si="23"/>
        <v>1.9845644983461962E-3</v>
      </c>
      <c r="J53" s="40">
        <f t="shared" si="23"/>
        <v>2.6218046755516716E-3</v>
      </c>
      <c r="K53" s="40">
        <f t="shared" si="23"/>
        <v>5.1720260850011248E-3</v>
      </c>
      <c r="L53" s="40">
        <f t="shared" si="23"/>
        <v>5.4489973844812556E-3</v>
      </c>
      <c r="M53" s="40">
        <f t="shared" si="23"/>
        <v>5.4541640444724145E-3</v>
      </c>
      <c r="N53" s="40">
        <f t="shared" si="16"/>
        <v>3.1407035175879399E-3</v>
      </c>
      <c r="O53" s="40">
        <f t="shared" si="16"/>
        <v>6.3091482649842276E-4</v>
      </c>
      <c r="P53" s="40">
        <f t="shared" si="17"/>
        <v>2.2326412145568208E-4</v>
      </c>
      <c r="Q53" s="40">
        <f t="shared" si="17"/>
        <v>2.2686025408348456E-4</v>
      </c>
      <c r="R53" s="40">
        <f t="shared" si="18"/>
        <v>-2.224694104560623E-4</v>
      </c>
      <c r="S53" s="40">
        <f t="shared" si="18"/>
        <v>1.441515650741351E-3</v>
      </c>
    </row>
    <row r="54" spans="1:19">
      <c r="A54" s="12"/>
      <c r="B54" s="22" t="s">
        <v>52</v>
      </c>
      <c r="C54" s="4"/>
      <c r="D54" s="12"/>
      <c r="E54" s="39">
        <f>E24/E$10</f>
        <v>2.4490730144197757E-2</v>
      </c>
      <c r="F54" s="39">
        <f t="shared" si="23"/>
        <v>6.8103645952763123E-2</v>
      </c>
      <c r="G54" s="39">
        <f t="shared" si="23"/>
        <v>-1.8695956999298902E-3</v>
      </c>
      <c r="H54" s="39">
        <f t="shared" si="23"/>
        <v>6.817194963091619E-2</v>
      </c>
      <c r="I54" s="39">
        <f t="shared" si="23"/>
        <v>8.7541345093715542E-2</v>
      </c>
      <c r="J54" s="39">
        <f t="shared" si="23"/>
        <v>9.7443740441337121E-2</v>
      </c>
      <c r="K54" s="39">
        <f t="shared" si="23"/>
        <v>0.11063638407915449</v>
      </c>
      <c r="L54" s="39">
        <f t="shared" si="23"/>
        <v>0.14319965126416739</v>
      </c>
      <c r="M54" s="39">
        <f t="shared" si="23"/>
        <v>0.17306482064191314</v>
      </c>
      <c r="N54" s="39">
        <f t="shared" si="16"/>
        <v>0.19283919597989949</v>
      </c>
      <c r="O54" s="39">
        <f t="shared" si="16"/>
        <v>0.27991587802313356</v>
      </c>
      <c r="P54" s="39">
        <f t="shared" si="17"/>
        <v>0.26077249386023665</v>
      </c>
      <c r="Q54" s="39">
        <f t="shared" si="17"/>
        <v>0.21052631578947367</v>
      </c>
      <c r="R54" s="39">
        <f t="shared" si="18"/>
        <v>0.22046718576195773</v>
      </c>
      <c r="S54" s="39">
        <f t="shared" si="18"/>
        <v>0.30024711696869849</v>
      </c>
    </row>
    <row r="55" spans="1:19" ht="16.5">
      <c r="A55" s="12"/>
      <c r="B55" s="2" t="s">
        <v>53</v>
      </c>
      <c r="C55" s="4"/>
      <c r="D55" s="12"/>
      <c r="E55" s="40">
        <f t="shared" si="23"/>
        <v>-2.2201876859693295E-2</v>
      </c>
      <c r="F55" s="40">
        <f t="shared" si="23"/>
        <v>-6.8791561568447603E-3</v>
      </c>
      <c r="G55" s="40">
        <f t="shared" si="23"/>
        <v>-2.8277634961439587E-2</v>
      </c>
      <c r="H55" s="40">
        <f t="shared" si="23"/>
        <v>1.9539730785931393E-3</v>
      </c>
      <c r="I55" s="40">
        <f t="shared" si="23"/>
        <v>1.4994487320837926E-2</v>
      </c>
      <c r="J55" s="40">
        <f t="shared" si="23"/>
        <v>1.7697181559973782E-2</v>
      </c>
      <c r="K55" s="40">
        <f t="shared" si="23"/>
        <v>1.6640431751742749E-2</v>
      </c>
      <c r="L55" s="40">
        <f t="shared" si="23"/>
        <v>2.5501307759372274E-2</v>
      </c>
      <c r="M55" s="40">
        <f t="shared" si="23"/>
        <v>3.5452066289070695E-2</v>
      </c>
      <c r="N55" s="40">
        <f t="shared" si="16"/>
        <v>3.5175879396984924E-2</v>
      </c>
      <c r="O55" s="40">
        <f t="shared" si="16"/>
        <v>5.1735015772870666E-2</v>
      </c>
      <c r="P55" s="40">
        <f t="shared" si="17"/>
        <v>4.509935253404778E-2</v>
      </c>
      <c r="Q55" s="40">
        <f t="shared" si="17"/>
        <v>2.5408348457350273E-2</v>
      </c>
      <c r="R55" s="40">
        <f t="shared" si="18"/>
        <v>2.1579532814238044E-2</v>
      </c>
      <c r="S55" s="40">
        <f t="shared" si="18"/>
        <v>6.3632619439868199E-2</v>
      </c>
    </row>
    <row r="56" spans="1:19" ht="16.5">
      <c r="A56" s="9"/>
      <c r="B56" s="25" t="s">
        <v>2</v>
      </c>
      <c r="C56" s="9"/>
      <c r="D56" s="9"/>
      <c r="E56" s="41">
        <f t="shared" si="23"/>
        <v>4.6692607003891051E-2</v>
      </c>
      <c r="F56" s="41">
        <f t="shared" si="23"/>
        <v>7.4982802109607893E-2</v>
      </c>
      <c r="G56" s="41">
        <f t="shared" si="23"/>
        <v>2.6408039261509697E-2</v>
      </c>
      <c r="H56" s="41">
        <f t="shared" si="23"/>
        <v>6.621797655232306E-2</v>
      </c>
      <c r="I56" s="41">
        <f t="shared" si="23"/>
        <v>7.2546857772877615E-2</v>
      </c>
      <c r="J56" s="41">
        <f t="shared" si="23"/>
        <v>7.9746558881363339E-2</v>
      </c>
      <c r="K56" s="41">
        <f t="shared" si="23"/>
        <v>9.3995952327411744E-2</v>
      </c>
      <c r="L56" s="41">
        <f t="shared" si="23"/>
        <v>0.11769834350479512</v>
      </c>
      <c r="M56" s="41">
        <f t="shared" si="23"/>
        <v>0.13761275435284245</v>
      </c>
      <c r="N56" s="41">
        <f t="shared" si="16"/>
        <v>0.15766331658291458</v>
      </c>
      <c r="O56" s="41">
        <f t="shared" si="16"/>
        <v>0.22818086225026288</v>
      </c>
      <c r="P56" s="41">
        <f t="shared" si="17"/>
        <v>0.21567314132618889</v>
      </c>
      <c r="Q56" s="41">
        <f t="shared" si="17"/>
        <v>0.18511796733212341</v>
      </c>
      <c r="R56" s="41">
        <f t="shared" si="18"/>
        <v>0.19888765294771968</v>
      </c>
      <c r="S56" s="41">
        <f t="shared" si="18"/>
        <v>0.23661449752883032</v>
      </c>
    </row>
    <row r="57" spans="1:19" ht="16.5">
      <c r="A57" s="9"/>
      <c r="B57" s="25"/>
      <c r="C57" s="9"/>
      <c r="D57" s="9"/>
      <c r="E57" s="41"/>
      <c r="F57" s="41"/>
      <c r="G57" s="41"/>
      <c r="H57" s="41"/>
      <c r="I57" s="41"/>
      <c r="J57" s="41"/>
      <c r="K57" s="41"/>
      <c r="L57" s="41"/>
      <c r="M57" s="41"/>
      <c r="N57" s="41"/>
      <c r="O57" s="41"/>
      <c r="P57" s="41"/>
      <c r="Q57" s="41"/>
      <c r="R57" s="41"/>
      <c r="S57" s="41"/>
    </row>
    <row r="58" spans="1:19" ht="16.5">
      <c r="A58" s="27"/>
      <c r="B58" s="5" t="s">
        <v>239</v>
      </c>
      <c r="C58" s="9"/>
      <c r="D58" s="9"/>
      <c r="E58" s="41"/>
      <c r="F58" s="41"/>
      <c r="G58" s="41"/>
      <c r="H58" s="41"/>
      <c r="I58" s="41"/>
      <c r="J58" s="41"/>
      <c r="K58" s="41"/>
      <c r="L58" s="41"/>
      <c r="M58" s="41"/>
      <c r="N58" s="41"/>
      <c r="O58" s="41"/>
      <c r="P58" s="41"/>
      <c r="Q58" s="41"/>
      <c r="R58" s="41"/>
      <c r="S58" s="41"/>
    </row>
    <row r="59" spans="1:19">
      <c r="A59" s="20" t="s">
        <v>29</v>
      </c>
      <c r="B59" s="23"/>
      <c r="C59" s="24"/>
      <c r="D59" s="23"/>
      <c r="E59" s="48"/>
    </row>
    <row r="60" spans="1:19">
      <c r="A60" s="20"/>
      <c r="B60" s="23"/>
      <c r="C60" s="24"/>
      <c r="D60" s="23"/>
      <c r="E60" s="48"/>
    </row>
    <row r="61" spans="1:19" ht="14.25" customHeight="1">
      <c r="A61" s="23"/>
      <c r="B61" s="24"/>
      <c r="C61" s="24"/>
      <c r="D61" s="23"/>
      <c r="E61" s="19" t="str">
        <f t="shared" ref="E61:M63" si="24">E6</f>
        <v>Q2</v>
      </c>
      <c r="F61" s="19" t="str">
        <f t="shared" si="24"/>
        <v>Q3</v>
      </c>
      <c r="G61" s="19" t="str">
        <f t="shared" si="24"/>
        <v>Q4</v>
      </c>
      <c r="H61" s="19" t="str">
        <f t="shared" si="24"/>
        <v>Q1</v>
      </c>
      <c r="I61" s="19" t="str">
        <f t="shared" si="24"/>
        <v>Q2</v>
      </c>
      <c r="J61" s="19" t="str">
        <f t="shared" si="24"/>
        <v>Q3</v>
      </c>
      <c r="K61" s="19" t="str">
        <f t="shared" si="24"/>
        <v>Q4</v>
      </c>
      <c r="L61" s="19" t="str">
        <f t="shared" si="24"/>
        <v>Q1</v>
      </c>
      <c r="M61" s="19" t="str">
        <f t="shared" si="24"/>
        <v>Q2</v>
      </c>
      <c r="N61" s="19" t="str">
        <f t="shared" ref="N61:O61" si="25">N6</f>
        <v>Q3</v>
      </c>
      <c r="O61" s="19" t="str">
        <f t="shared" si="25"/>
        <v>Q4</v>
      </c>
      <c r="P61" s="19" t="str">
        <f t="shared" ref="P61:Q61" si="26">P6</f>
        <v>Q1</v>
      </c>
      <c r="Q61" s="19" t="str">
        <f t="shared" si="26"/>
        <v>Q2</v>
      </c>
      <c r="R61" s="19" t="str">
        <f t="shared" ref="R61:S61" si="27">R6</f>
        <v>Q3</v>
      </c>
      <c r="S61" s="19" t="str">
        <f t="shared" si="27"/>
        <v>Q4</v>
      </c>
    </row>
    <row r="62" spans="1:19" ht="14.25" customHeight="1">
      <c r="A62" s="23"/>
      <c r="B62" s="24"/>
      <c r="C62" s="24"/>
      <c r="D62" s="23"/>
      <c r="E62" s="19" t="s">
        <v>44</v>
      </c>
      <c r="F62" s="19" t="s">
        <v>44</v>
      </c>
      <c r="G62" s="19" t="s">
        <v>44</v>
      </c>
      <c r="H62" s="19" t="s">
        <v>45</v>
      </c>
      <c r="I62" s="19" t="s">
        <v>45</v>
      </c>
      <c r="J62" s="19" t="s">
        <v>45</v>
      </c>
      <c r="K62" s="19" t="s">
        <v>45</v>
      </c>
      <c r="L62" s="19" t="s">
        <v>46</v>
      </c>
      <c r="M62" s="19" t="str">
        <f t="shared" si="24"/>
        <v>CY11</v>
      </c>
      <c r="N62" s="19" t="str">
        <f t="shared" ref="N62:O62" si="28">N7</f>
        <v>CY11</v>
      </c>
      <c r="O62" s="19" t="str">
        <f t="shared" si="28"/>
        <v>CY11</v>
      </c>
      <c r="P62" s="19" t="str">
        <f t="shared" ref="P62:Q62" si="29">P7</f>
        <v>CY12</v>
      </c>
      <c r="Q62" s="19" t="str">
        <f t="shared" si="29"/>
        <v>CY12</v>
      </c>
      <c r="R62" s="19" t="str">
        <f t="shared" ref="R62:S62" si="30">R7</f>
        <v>CY12</v>
      </c>
      <c r="S62" s="19" t="str">
        <f t="shared" si="30"/>
        <v>CY12</v>
      </c>
    </row>
    <row r="63" spans="1:19">
      <c r="A63" s="23"/>
      <c r="B63" s="26"/>
      <c r="C63" s="26"/>
      <c r="D63" s="23"/>
      <c r="E63" s="45" t="s">
        <v>230</v>
      </c>
      <c r="F63" s="45" t="s">
        <v>230</v>
      </c>
      <c r="G63" s="45" t="s">
        <v>230</v>
      </c>
      <c r="H63" s="45" t="s">
        <v>230</v>
      </c>
      <c r="I63" s="45" t="s">
        <v>230</v>
      </c>
      <c r="J63" s="45" t="s">
        <v>230</v>
      </c>
      <c r="K63" s="45" t="s">
        <v>230</v>
      </c>
      <c r="L63" s="45" t="s">
        <v>230</v>
      </c>
      <c r="M63" s="45" t="str">
        <f t="shared" si="24"/>
        <v>TTM</v>
      </c>
      <c r="N63" s="45" t="str">
        <f t="shared" ref="N63:O63" si="31">N8</f>
        <v>TTM</v>
      </c>
      <c r="O63" s="45" t="str">
        <f t="shared" si="31"/>
        <v>TTM</v>
      </c>
      <c r="P63" s="45" t="str">
        <f t="shared" ref="P63:Q63" si="32">P8</f>
        <v>TTM</v>
      </c>
      <c r="Q63" s="45" t="str">
        <f t="shared" si="32"/>
        <v>TTM</v>
      </c>
      <c r="R63" s="45" t="str">
        <f t="shared" ref="R63:S63" si="33">R8</f>
        <v>TTM</v>
      </c>
      <c r="S63" s="45" t="str">
        <f t="shared" si="33"/>
        <v>TTM</v>
      </c>
    </row>
    <row r="64" spans="1:19" ht="7.5" customHeight="1">
      <c r="A64" s="21"/>
      <c r="B64" s="21"/>
      <c r="C64" s="21"/>
      <c r="D64" s="21"/>
      <c r="E64" s="543"/>
      <c r="F64" s="543"/>
      <c r="G64" s="543"/>
      <c r="H64" s="543"/>
      <c r="I64" s="543"/>
      <c r="J64" s="543"/>
      <c r="K64" s="543"/>
      <c r="L64" s="543"/>
      <c r="M64" s="544"/>
      <c r="N64" s="544"/>
      <c r="O64" s="544"/>
      <c r="P64" s="544"/>
      <c r="Q64" s="544"/>
      <c r="R64" s="544"/>
      <c r="S64" s="544"/>
    </row>
    <row r="65" spans="1:19">
      <c r="A65" s="8"/>
      <c r="B65" s="1" t="s">
        <v>216</v>
      </c>
      <c r="C65" s="9"/>
      <c r="D65" s="8"/>
      <c r="E65" s="13">
        <f>SUM('QTD P&amp;L'!E61:H61)</f>
        <v>4585</v>
      </c>
      <c r="F65" s="13">
        <f>SUM('QTD P&amp;L'!F61:I61)</f>
        <v>4623</v>
      </c>
      <c r="G65" s="13">
        <f>SUM('QTD P&amp;L'!G61:J61)</f>
        <v>4775</v>
      </c>
      <c r="H65" s="13">
        <f>SUM('QTD P&amp;L'!H61:K61)</f>
        <v>4765</v>
      </c>
      <c r="I65" s="13">
        <f>SUM('QTD P&amp;L'!I61:L61)</f>
        <v>4647</v>
      </c>
      <c r="J65" s="13">
        <f>SUM('QTD P&amp;L'!J61:M61)</f>
        <v>4749</v>
      </c>
      <c r="K65" s="13">
        <v>4803</v>
      </c>
      <c r="L65" s="13">
        <f>SUM('QTD P&amp;L'!L61:O61)</f>
        <v>4843</v>
      </c>
      <c r="M65" s="13">
        <f>SUM('QTD P&amp;L'!M61:P61)</f>
        <v>4859</v>
      </c>
      <c r="N65" s="13">
        <f>SUM('QTD P&amp;L'!N61:Q61)</f>
        <v>4629</v>
      </c>
      <c r="O65" s="13">
        <v>4489</v>
      </c>
      <c r="P65" s="13">
        <f>SUM('QTD P&amp;L'!P61:S61)</f>
        <v>4321</v>
      </c>
      <c r="Q65" s="13">
        <f>SUM('QTD P&amp;L'!Q61:T61)</f>
        <v>4676</v>
      </c>
      <c r="R65" s="13">
        <f>SUM('QTD P&amp;L'!R61:U61)</f>
        <v>4800</v>
      </c>
      <c r="S65" s="13">
        <v>4987</v>
      </c>
    </row>
    <row r="66" spans="1:19">
      <c r="A66" s="8"/>
      <c r="B66" s="1" t="s">
        <v>215</v>
      </c>
      <c r="C66" s="9"/>
      <c r="D66" s="8"/>
      <c r="E66" s="523"/>
      <c r="F66" s="13"/>
      <c r="G66" s="523"/>
      <c r="H66" s="523"/>
      <c r="I66" s="523"/>
      <c r="J66" s="13"/>
      <c r="K66" s="523"/>
      <c r="L66" s="523"/>
      <c r="M66" s="523"/>
      <c r="N66" s="13"/>
      <c r="O66" s="13"/>
      <c r="P66" s="13"/>
      <c r="Q66" s="13"/>
      <c r="R66" s="13"/>
      <c r="S66" s="13"/>
    </row>
    <row r="67" spans="1:19" s="48" customFormat="1">
      <c r="A67" s="10"/>
      <c r="B67" s="2"/>
      <c r="C67" s="2" t="s">
        <v>226</v>
      </c>
      <c r="D67" s="10"/>
      <c r="E67" s="47">
        <f>SUM('QTD P&amp;L'!E63:H63)</f>
        <v>1678</v>
      </c>
      <c r="F67" s="47">
        <f>SUM('QTD P&amp;L'!F63:I63)</f>
        <v>1612</v>
      </c>
      <c r="G67" s="47">
        <v>1542</v>
      </c>
      <c r="H67" s="47">
        <f>SUM('QTD P&amp;L'!H63:K63)</f>
        <v>1507</v>
      </c>
      <c r="I67" s="47">
        <f>SUM('QTD P&amp;L'!I63:L63)</f>
        <v>1436</v>
      </c>
      <c r="J67" s="47">
        <f>SUM('QTD P&amp;L'!J63:M63)</f>
        <v>1428</v>
      </c>
      <c r="K67" s="47">
        <v>1348</v>
      </c>
      <c r="L67" s="47">
        <f>SUM('QTD P&amp;L'!L63:O63)</f>
        <v>1312</v>
      </c>
      <c r="M67" s="47">
        <f>SUM('QTD P&amp;L'!M63:P63)</f>
        <v>1281</v>
      </c>
      <c r="N67" s="47">
        <f>SUM('QTD P&amp;L'!N63:Q63)</f>
        <v>1213</v>
      </c>
      <c r="O67" s="47">
        <v>1121</v>
      </c>
      <c r="P67" s="47">
        <f>SUM('QTD P&amp;L'!P63:S63)</f>
        <v>1091</v>
      </c>
      <c r="Q67" s="47">
        <f>SUM('QTD P&amp;L'!Q63:T63)</f>
        <v>1124</v>
      </c>
      <c r="R67" s="47">
        <f>SUM('QTD P&amp;L'!R63:U63)</f>
        <v>1137</v>
      </c>
      <c r="S67" s="47">
        <v>1116</v>
      </c>
    </row>
    <row r="68" spans="1:19" s="48" customFormat="1">
      <c r="A68" s="10"/>
      <c r="B68" s="2"/>
      <c r="C68" s="2" t="s">
        <v>256</v>
      </c>
      <c r="D68" s="10"/>
      <c r="E68" s="47">
        <f>SUM('QTD P&amp;L'!E64:H64)</f>
        <v>199</v>
      </c>
      <c r="F68" s="47">
        <f>SUM('QTD P&amp;L'!F64:I64)</f>
        <v>211</v>
      </c>
      <c r="G68" s="47">
        <v>212</v>
      </c>
      <c r="H68" s="47">
        <f>SUM('QTD P&amp;L'!H64:K64)</f>
        <v>218</v>
      </c>
      <c r="I68" s="47">
        <f>SUM('QTD P&amp;L'!I64:L64)</f>
        <v>222</v>
      </c>
      <c r="J68" s="47">
        <f>SUM('QTD P&amp;L'!J64:M64)</f>
        <v>231</v>
      </c>
      <c r="K68" s="47">
        <f>241+9</f>
        <v>250</v>
      </c>
      <c r="L68" s="47">
        <f>SUM('QTD P&amp;L'!L64:O64)</f>
        <v>261</v>
      </c>
      <c r="M68" s="47">
        <f>SUM('QTD P&amp;L'!M64:P64)</f>
        <v>268</v>
      </c>
      <c r="N68" s="47">
        <f>SUM('QTD P&amp;L'!N64:Q64)</f>
        <v>267</v>
      </c>
      <c r="O68" s="47">
        <f>238+17</f>
        <v>255</v>
      </c>
      <c r="P68" s="47">
        <f>SUM('QTD P&amp;L'!P64:S64)</f>
        <v>259</v>
      </c>
      <c r="Q68" s="47">
        <f>SUM('QTD P&amp;L'!Q64:T64)</f>
        <v>268</v>
      </c>
      <c r="R68" s="47">
        <f>SUM('QTD P&amp;L'!R64:U64)</f>
        <v>267</v>
      </c>
      <c r="S68" s="47">
        <f>232+32</f>
        <v>264</v>
      </c>
    </row>
    <row r="69" spans="1:19" s="48" customFormat="1">
      <c r="A69" s="10"/>
      <c r="B69" s="2"/>
      <c r="C69" s="2" t="s">
        <v>224</v>
      </c>
      <c r="D69" s="10"/>
      <c r="E69" s="47">
        <f>SUM('QTD P&amp;L'!E65:H65)</f>
        <v>254</v>
      </c>
      <c r="F69" s="47">
        <f>SUM('QTD P&amp;L'!F65:I65)</f>
        <v>303</v>
      </c>
      <c r="G69" s="47">
        <v>244</v>
      </c>
      <c r="H69" s="47">
        <f>SUM('QTD P&amp;L'!H65:K65)</f>
        <v>246</v>
      </c>
      <c r="I69" s="47">
        <f>SUM('QTD P&amp;L'!I65:L65)</f>
        <v>262</v>
      </c>
      <c r="J69" s="47">
        <f>SUM('QTD P&amp;L'!J65:M65)</f>
        <v>241</v>
      </c>
      <c r="K69" s="47">
        <v>287</v>
      </c>
      <c r="L69" s="47">
        <f>SUM('QTD P&amp;L'!L65:O65)</f>
        <v>273</v>
      </c>
      <c r="M69" s="47">
        <f>SUM('QTD P&amp;L'!M65:P65)</f>
        <v>233</v>
      </c>
      <c r="N69" s="47">
        <f>SUM('QTD P&amp;L'!N65:Q65)</f>
        <v>194</v>
      </c>
      <c r="O69" s="47">
        <v>159</v>
      </c>
      <c r="P69" s="47">
        <f>SUM('QTD P&amp;L'!P65:S65)</f>
        <v>155</v>
      </c>
      <c r="Q69" s="47">
        <f>SUM('QTD P&amp;L'!Q65:T65)</f>
        <v>197</v>
      </c>
      <c r="R69" s="47">
        <f>SUM('QTD P&amp;L'!R65:U65)</f>
        <v>224</v>
      </c>
      <c r="S69" s="47">
        <v>221</v>
      </c>
    </row>
    <row r="70" spans="1:19" s="48" customFormat="1">
      <c r="A70" s="10"/>
      <c r="B70" s="2"/>
      <c r="C70" s="2" t="s">
        <v>225</v>
      </c>
      <c r="D70" s="10"/>
      <c r="E70" s="47">
        <f>SUM('QTD P&amp;L'!E66:H66)</f>
        <v>145</v>
      </c>
      <c r="F70" s="47">
        <f>SUM('QTD P&amp;L'!F66:I66)</f>
        <v>157</v>
      </c>
      <c r="G70" s="47">
        <v>127</v>
      </c>
      <c r="H70" s="47">
        <f>SUM('QTD P&amp;L'!H66:K66)</f>
        <v>115</v>
      </c>
      <c r="I70" s="47">
        <f>SUM('QTD P&amp;L'!I66:L66)</f>
        <v>105</v>
      </c>
      <c r="J70" s="47">
        <f>SUM('QTD P&amp;L'!J66:M66)</f>
        <v>104</v>
      </c>
      <c r="K70" s="47">
        <v>100</v>
      </c>
      <c r="L70" s="47">
        <f>SUM('QTD P&amp;L'!L66:O66)</f>
        <v>90</v>
      </c>
      <c r="M70" s="47">
        <f>SUM('QTD P&amp;L'!M66:P66)</f>
        <v>84</v>
      </c>
      <c r="N70" s="47">
        <f>SUM('QTD P&amp;L'!N66:Q66)</f>
        <v>66</v>
      </c>
      <c r="O70" s="47">
        <v>72</v>
      </c>
      <c r="P70" s="47">
        <f>SUM('QTD P&amp;L'!P66:S66)</f>
        <v>67</v>
      </c>
      <c r="Q70" s="47">
        <f>SUM('QTD P&amp;L'!Q66:T66)</f>
        <v>73</v>
      </c>
      <c r="R70" s="47">
        <f>SUM('QTD P&amp;L'!R66:U66)</f>
        <v>75</v>
      </c>
      <c r="S70" s="47">
        <v>62</v>
      </c>
    </row>
    <row r="71" spans="1:19">
      <c r="A71" s="10"/>
      <c r="B71" s="10"/>
      <c r="C71" s="6" t="s">
        <v>47</v>
      </c>
      <c r="D71" s="10"/>
      <c r="E71" s="15">
        <f>SUM('QTD P&amp;L'!E67:H67)</f>
        <v>505</v>
      </c>
      <c r="F71" s="15">
        <f>SUM('QTD P&amp;L'!F67:I67)</f>
        <v>514</v>
      </c>
      <c r="G71" s="15">
        <v>591</v>
      </c>
      <c r="H71" s="15">
        <f>SUM('QTD P&amp;L'!H67:K67)</f>
        <v>610</v>
      </c>
      <c r="I71" s="15">
        <f>SUM('QTD P&amp;L'!I67:L67)</f>
        <v>597</v>
      </c>
      <c r="J71" s="15">
        <f>SUM('QTD P&amp;L'!J67:M67)</f>
        <v>595</v>
      </c>
      <c r="K71" s="15">
        <f>630-7-9</f>
        <v>614</v>
      </c>
      <c r="L71" s="15">
        <f>SUM('QTD P&amp;L'!L67:O67)</f>
        <v>607</v>
      </c>
      <c r="M71" s="15">
        <f>SUM('QTD P&amp;L'!M67:P67)</f>
        <v>612</v>
      </c>
      <c r="N71" s="15">
        <f>SUM('QTD P&amp;L'!N67:Q67)</f>
        <v>627</v>
      </c>
      <c r="O71" s="15">
        <f>606-17</f>
        <v>589</v>
      </c>
      <c r="P71" s="15">
        <f>SUM('QTD P&amp;L'!P67:S67)</f>
        <v>566</v>
      </c>
      <c r="Q71" s="15">
        <f>SUM('QTD P&amp;L'!Q67:T67)</f>
        <v>598</v>
      </c>
      <c r="R71" s="15">
        <f>SUM('QTD P&amp;L'!R67:U67)</f>
        <v>594</v>
      </c>
      <c r="S71" s="15">
        <f>616-32</f>
        <v>584</v>
      </c>
    </row>
    <row r="72" spans="1:19">
      <c r="A72" s="10"/>
      <c r="B72" s="10"/>
      <c r="C72" s="6" t="s">
        <v>48</v>
      </c>
      <c r="D72" s="10"/>
      <c r="E72" s="15">
        <f>SUM('QTD P&amp;L'!E68:H68)</f>
        <v>516</v>
      </c>
      <c r="F72" s="15">
        <f>SUM('QTD P&amp;L'!F68:I68)</f>
        <v>556</v>
      </c>
      <c r="G72" s="15">
        <v>537</v>
      </c>
      <c r="H72" s="15">
        <f>SUM('QTD P&amp;L'!H68:K68)</f>
        <v>515</v>
      </c>
      <c r="I72" s="15">
        <f>SUM('QTD P&amp;L'!I68:L68)</f>
        <v>524</v>
      </c>
      <c r="J72" s="15">
        <f>SUM('QTD P&amp;L'!J68:M68)</f>
        <v>501</v>
      </c>
      <c r="K72" s="15">
        <f>512-4</f>
        <v>508</v>
      </c>
      <c r="L72" s="15">
        <f>SUM('QTD P&amp;L'!L68:O68)</f>
        <v>513</v>
      </c>
      <c r="M72" s="15">
        <f>SUM('QTD P&amp;L'!M68:P68)</f>
        <v>482</v>
      </c>
      <c r="N72" s="15">
        <f>SUM('QTD P&amp;L'!N68:Q68)</f>
        <v>487</v>
      </c>
      <c r="O72" s="15">
        <v>539</v>
      </c>
      <c r="P72" s="15">
        <f>SUM('QTD P&amp;L'!P68:S68)</f>
        <v>561</v>
      </c>
      <c r="Q72" s="15">
        <f>SUM('QTD P&amp;L'!Q68:T68)</f>
        <v>604</v>
      </c>
      <c r="R72" s="15">
        <f>SUM('QTD P&amp;L'!R68:U68)</f>
        <v>620</v>
      </c>
      <c r="S72" s="15">
        <v>570</v>
      </c>
    </row>
    <row r="73" spans="1:19" ht="16.5">
      <c r="A73" s="10"/>
      <c r="B73" s="10"/>
      <c r="C73" s="6" t="s">
        <v>49</v>
      </c>
      <c r="D73" s="10"/>
      <c r="E73" s="16">
        <f>SUM('QTD P&amp;L'!E69:H69)</f>
        <v>247</v>
      </c>
      <c r="F73" s="16">
        <f>SUM('QTD P&amp;L'!F69:I69)</f>
        <v>276</v>
      </c>
      <c r="G73" s="16">
        <v>288</v>
      </c>
      <c r="H73" s="16">
        <f>SUM('QTD P&amp;L'!H69:K69)</f>
        <v>274</v>
      </c>
      <c r="I73" s="16">
        <f>SUM('QTD P&amp;L'!I69:L69)</f>
        <v>276</v>
      </c>
      <c r="J73" s="16">
        <f>SUM('QTD P&amp;L'!J69:M69)</f>
        <v>295</v>
      </c>
      <c r="K73" s="16">
        <f>314+11</f>
        <v>325</v>
      </c>
      <c r="L73" s="16">
        <f>SUM('QTD P&amp;L'!L69:O69)</f>
        <v>363</v>
      </c>
      <c r="M73" s="16">
        <f>SUM('QTD P&amp;L'!M69:P69)</f>
        <v>411</v>
      </c>
      <c r="N73" s="16">
        <f>SUM('QTD P&amp;L'!N69:Q69)</f>
        <v>406</v>
      </c>
      <c r="O73" s="16">
        <v>396</v>
      </c>
      <c r="P73" s="16">
        <f>SUM('QTD P&amp;L'!P69:S69)</f>
        <v>392</v>
      </c>
      <c r="Q73" s="16">
        <f>SUM('QTD P&amp;L'!Q69:T69)</f>
        <v>447</v>
      </c>
      <c r="R73" s="16">
        <f>SUM('QTD P&amp;L'!R69:U69)</f>
        <v>449</v>
      </c>
      <c r="S73" s="16">
        <v>472</v>
      </c>
    </row>
    <row r="74" spans="1:19" ht="16.5">
      <c r="A74" s="10"/>
      <c r="B74" s="10"/>
      <c r="C74" s="10"/>
      <c r="D74" s="10" t="s">
        <v>214</v>
      </c>
      <c r="E74" s="16">
        <f t="shared" ref="E74:L74" si="34">SUM(E67:E73)</f>
        <v>3544</v>
      </c>
      <c r="F74" s="16">
        <f t="shared" si="34"/>
        <v>3629</v>
      </c>
      <c r="G74" s="16">
        <f t="shared" si="34"/>
        <v>3541</v>
      </c>
      <c r="H74" s="16">
        <f t="shared" si="34"/>
        <v>3485</v>
      </c>
      <c r="I74" s="16">
        <f t="shared" si="34"/>
        <v>3422</v>
      </c>
      <c r="J74" s="16">
        <f t="shared" si="34"/>
        <v>3395</v>
      </c>
      <c r="K74" s="16">
        <f t="shared" si="34"/>
        <v>3432</v>
      </c>
      <c r="L74" s="16">
        <f t="shared" si="34"/>
        <v>3419</v>
      </c>
      <c r="M74" s="16">
        <f t="shared" ref="M74" si="35">SUM(M67:M73)</f>
        <v>3371</v>
      </c>
      <c r="N74" s="16">
        <f t="shared" ref="N74:S74" si="36">SUM(N67:N73)</f>
        <v>3260</v>
      </c>
      <c r="O74" s="16">
        <f t="shared" si="36"/>
        <v>3131</v>
      </c>
      <c r="P74" s="16">
        <f t="shared" si="36"/>
        <v>3091</v>
      </c>
      <c r="Q74" s="16">
        <f t="shared" si="36"/>
        <v>3311</v>
      </c>
      <c r="R74" s="16">
        <f t="shared" si="36"/>
        <v>3366</v>
      </c>
      <c r="S74" s="16">
        <f t="shared" si="36"/>
        <v>3289</v>
      </c>
    </row>
    <row r="75" spans="1:19">
      <c r="A75" s="11"/>
      <c r="B75" s="25" t="s">
        <v>1</v>
      </c>
      <c r="C75" s="3"/>
      <c r="D75" s="11"/>
      <c r="E75" s="14">
        <f t="shared" ref="E75:M75" si="37">E65-E74</f>
        <v>1041</v>
      </c>
      <c r="F75" s="14">
        <f t="shared" si="37"/>
        <v>994</v>
      </c>
      <c r="G75" s="14">
        <f t="shared" si="37"/>
        <v>1234</v>
      </c>
      <c r="H75" s="14">
        <f t="shared" si="37"/>
        <v>1280</v>
      </c>
      <c r="I75" s="14">
        <f t="shared" si="37"/>
        <v>1225</v>
      </c>
      <c r="J75" s="14">
        <f t="shared" si="37"/>
        <v>1354</v>
      </c>
      <c r="K75" s="14">
        <f t="shared" si="37"/>
        <v>1371</v>
      </c>
      <c r="L75" s="14">
        <f t="shared" si="37"/>
        <v>1424</v>
      </c>
      <c r="M75" s="14">
        <f t="shared" si="37"/>
        <v>1488</v>
      </c>
      <c r="N75" s="14">
        <f t="shared" ref="N75:S75" si="38">N65-N74</f>
        <v>1369</v>
      </c>
      <c r="O75" s="14">
        <f t="shared" si="38"/>
        <v>1358</v>
      </c>
      <c r="P75" s="14">
        <f t="shared" si="38"/>
        <v>1230</v>
      </c>
      <c r="Q75" s="14">
        <f t="shared" si="38"/>
        <v>1365</v>
      </c>
      <c r="R75" s="14">
        <f t="shared" si="38"/>
        <v>1434</v>
      </c>
      <c r="S75" s="14">
        <f t="shared" si="38"/>
        <v>1698</v>
      </c>
    </row>
    <row r="76" spans="1:19" ht="16.5">
      <c r="A76" s="12"/>
      <c r="B76" s="2" t="s">
        <v>251</v>
      </c>
      <c r="C76" s="12"/>
      <c r="D76" s="12"/>
      <c r="E76" s="16">
        <f>SUM('QTD P&amp;L'!E72:H72)</f>
        <v>52</v>
      </c>
      <c r="F76" s="16">
        <f>SUM('QTD P&amp;L'!F72:I72)</f>
        <v>31</v>
      </c>
      <c r="G76" s="16">
        <f>SUM('QTD P&amp;L'!G72:J72)</f>
        <v>10</v>
      </c>
      <c r="H76" s="16">
        <f>SUM('QTD P&amp;L'!H72:K72)</f>
        <v>0</v>
      </c>
      <c r="I76" s="16">
        <f>SUM('QTD P&amp;L'!I72:L72)</f>
        <v>1</v>
      </c>
      <c r="J76" s="16">
        <f>SUM('QTD P&amp;L'!J72:M72)</f>
        <v>12</v>
      </c>
      <c r="K76" s="16">
        <f>SUM('QTD P&amp;L'!K72:N72)</f>
        <v>23</v>
      </c>
      <c r="L76" s="16">
        <f>SUM('QTD P&amp;L'!L72:O72)</f>
        <v>25</v>
      </c>
      <c r="M76" s="16">
        <f>SUM('QTD P&amp;L'!M72:P72)</f>
        <v>26</v>
      </c>
      <c r="N76" s="16">
        <f>SUM('QTD P&amp;L'!N72:Q72)</f>
        <v>15</v>
      </c>
      <c r="O76" s="16">
        <v>3</v>
      </c>
      <c r="P76" s="16">
        <f>SUM('QTD P&amp;L'!P72:S72)</f>
        <v>1</v>
      </c>
      <c r="Q76" s="16">
        <f>SUM('QTD P&amp;L'!Q72:T72)</f>
        <v>1</v>
      </c>
      <c r="R76" s="16">
        <f>SUM('QTD P&amp;L'!R72:U72)</f>
        <v>-1</v>
      </c>
      <c r="S76" s="16">
        <v>7</v>
      </c>
    </row>
    <row r="77" spans="1:19">
      <c r="A77" s="12"/>
      <c r="B77" s="22" t="s">
        <v>52</v>
      </c>
      <c r="C77" s="4"/>
      <c r="D77" s="12"/>
      <c r="E77" s="15">
        <f t="shared" ref="E77:L77" si="39">SUM(E75:E76)</f>
        <v>1093</v>
      </c>
      <c r="F77" s="15">
        <f t="shared" si="39"/>
        <v>1025</v>
      </c>
      <c r="G77" s="15">
        <f t="shared" si="39"/>
        <v>1244</v>
      </c>
      <c r="H77" s="15">
        <f t="shared" si="39"/>
        <v>1280</v>
      </c>
      <c r="I77" s="15">
        <f t="shared" si="39"/>
        <v>1226</v>
      </c>
      <c r="J77" s="15">
        <f t="shared" si="39"/>
        <v>1366</v>
      </c>
      <c r="K77" s="15">
        <f t="shared" si="39"/>
        <v>1394</v>
      </c>
      <c r="L77" s="15">
        <f t="shared" si="39"/>
        <v>1449</v>
      </c>
      <c r="M77" s="15">
        <f t="shared" ref="M77" si="40">SUM(M75:M76)</f>
        <v>1514</v>
      </c>
      <c r="N77" s="15">
        <f t="shared" ref="N77:S77" si="41">SUM(N75:N76)</f>
        <v>1384</v>
      </c>
      <c r="O77" s="15">
        <f t="shared" si="41"/>
        <v>1361</v>
      </c>
      <c r="P77" s="15">
        <f t="shared" si="41"/>
        <v>1231</v>
      </c>
      <c r="Q77" s="15">
        <f t="shared" si="41"/>
        <v>1366</v>
      </c>
      <c r="R77" s="15">
        <f t="shared" si="41"/>
        <v>1433</v>
      </c>
      <c r="S77" s="15">
        <f t="shared" si="41"/>
        <v>1705</v>
      </c>
    </row>
    <row r="78" spans="1:19" ht="16.5">
      <c r="A78" s="12"/>
      <c r="B78" s="2" t="s">
        <v>53</v>
      </c>
      <c r="C78" s="4"/>
      <c r="D78" s="12"/>
      <c r="E78" s="16">
        <f>SUM('QTD P&amp;L'!E74:H74)</f>
        <v>349</v>
      </c>
      <c r="F78" s="16">
        <f>SUM('QTD P&amp;L'!F74:I74)</f>
        <v>318</v>
      </c>
      <c r="G78" s="16">
        <f>SUM('QTD P&amp;L'!G74:J74)</f>
        <v>334</v>
      </c>
      <c r="H78" s="16">
        <f>SUM('QTD P&amp;L'!H74:K74)</f>
        <v>365</v>
      </c>
      <c r="I78" s="16">
        <f>SUM('QTD P&amp;L'!I74:L74)</f>
        <v>351</v>
      </c>
      <c r="J78" s="16">
        <f>SUM('QTD P&amp;L'!J74:M74)</f>
        <v>398</v>
      </c>
      <c r="K78" s="16">
        <f>SUM('QTD P&amp;L'!K74:N74)</f>
        <v>403</v>
      </c>
      <c r="L78" s="16">
        <f>SUM('QTD P&amp;L'!L74:O74)</f>
        <v>418</v>
      </c>
      <c r="M78" s="16">
        <f>SUM('QTD P&amp;L'!M74:P74)</f>
        <v>437</v>
      </c>
      <c r="N78" s="16">
        <f>SUM('QTD P&amp;L'!N74:Q74)</f>
        <v>368</v>
      </c>
      <c r="O78" s="16">
        <v>274</v>
      </c>
      <c r="P78" s="16">
        <f>SUM('QTD P&amp;L'!P74:S74)</f>
        <v>234</v>
      </c>
      <c r="Q78" s="16">
        <f>SUM('QTD P&amp;L'!Q74:T74)</f>
        <v>263</v>
      </c>
      <c r="R78" s="16">
        <f>SUM('QTD P&amp;L'!R74:U74)</f>
        <v>249</v>
      </c>
      <c r="S78" s="16">
        <v>355</v>
      </c>
    </row>
    <row r="79" spans="1:19" ht="16.5">
      <c r="A79" s="9"/>
      <c r="B79" s="25" t="s">
        <v>2</v>
      </c>
      <c r="C79" s="9"/>
      <c r="D79" s="9"/>
      <c r="E79" s="17">
        <f t="shared" ref="E79:M79" si="42">E77-E78</f>
        <v>744</v>
      </c>
      <c r="F79" s="17">
        <f t="shared" si="42"/>
        <v>707</v>
      </c>
      <c r="G79" s="17">
        <f t="shared" si="42"/>
        <v>910</v>
      </c>
      <c r="H79" s="17">
        <f t="shared" si="42"/>
        <v>915</v>
      </c>
      <c r="I79" s="17">
        <f t="shared" si="42"/>
        <v>875</v>
      </c>
      <c r="J79" s="17">
        <f t="shared" si="42"/>
        <v>968</v>
      </c>
      <c r="K79" s="17">
        <f t="shared" si="42"/>
        <v>991</v>
      </c>
      <c r="L79" s="17">
        <f t="shared" si="42"/>
        <v>1031</v>
      </c>
      <c r="M79" s="17">
        <f t="shared" si="42"/>
        <v>1077</v>
      </c>
      <c r="N79" s="17">
        <f t="shared" ref="N79:O79" si="43">N77-N78</f>
        <v>1016</v>
      </c>
      <c r="O79" s="17">
        <f t="shared" si="43"/>
        <v>1087</v>
      </c>
      <c r="P79" s="17">
        <f t="shared" ref="P79:Q79" si="44">P77-P78</f>
        <v>997</v>
      </c>
      <c r="Q79" s="17">
        <f t="shared" si="44"/>
        <v>1103</v>
      </c>
      <c r="R79" s="17">
        <f>R77-R78</f>
        <v>1184</v>
      </c>
      <c r="S79" s="17">
        <f>S77-S78</f>
        <v>1350</v>
      </c>
    </row>
    <row r="80" spans="1:19" ht="9.75" customHeight="1">
      <c r="A80" s="9"/>
      <c r="B80" s="25"/>
      <c r="C80" s="9"/>
      <c r="D80" s="9"/>
      <c r="E80" s="524"/>
      <c r="F80" s="17"/>
      <c r="G80" s="524"/>
      <c r="H80" s="524"/>
      <c r="I80" s="524"/>
      <c r="J80" s="17"/>
      <c r="K80" s="524"/>
      <c r="L80" s="524"/>
      <c r="M80" s="524"/>
      <c r="N80" s="17"/>
      <c r="O80" s="17"/>
      <c r="P80" s="17"/>
      <c r="Q80" s="17"/>
      <c r="R80" s="17"/>
      <c r="S80" s="17"/>
    </row>
    <row r="81" spans="1:19" s="52" customFormat="1">
      <c r="A81" s="62"/>
      <c r="B81" s="63" t="s">
        <v>160</v>
      </c>
      <c r="C81" s="63"/>
      <c r="D81" s="63"/>
      <c r="E81" s="525"/>
      <c r="F81" s="64"/>
      <c r="G81" s="525"/>
      <c r="H81" s="525"/>
      <c r="I81" s="525"/>
      <c r="J81" s="64"/>
      <c r="K81" s="525"/>
      <c r="L81" s="525"/>
      <c r="M81" s="525"/>
      <c r="N81" s="64"/>
      <c r="O81" s="64"/>
      <c r="P81" s="64"/>
      <c r="Q81" s="64"/>
      <c r="R81" s="64"/>
      <c r="S81" s="64"/>
    </row>
    <row r="82" spans="1:19" s="52" customFormat="1">
      <c r="A82" s="62"/>
      <c r="B82" s="63"/>
      <c r="C82" s="517" t="s">
        <v>34</v>
      </c>
      <c r="D82" s="63"/>
      <c r="E82" s="66">
        <f>SUM('QTD P&amp;L'!E78:H78)</f>
        <v>0.56000000000000005</v>
      </c>
      <c r="F82" s="66">
        <f>SUM('QTD P&amp;L'!F78:I78)</f>
        <v>0.53</v>
      </c>
      <c r="G82" s="66">
        <v>0.7</v>
      </c>
      <c r="H82" s="66">
        <f>SUM('QTD P&amp;L'!H78:K78)</f>
        <v>0.72</v>
      </c>
      <c r="I82" s="66">
        <f>SUM('QTD P&amp;L'!I78:L78)</f>
        <v>0.69</v>
      </c>
      <c r="J82" s="66">
        <f>SUM('QTD P&amp;L'!J78:M78)</f>
        <v>0.76999999999999991</v>
      </c>
      <c r="K82" s="66">
        <v>0.81</v>
      </c>
      <c r="L82" s="66">
        <f>SUM('QTD P&amp;L'!L78:O78)</f>
        <v>0.85</v>
      </c>
      <c r="M82" s="66">
        <f>SUM('QTD P&amp;L'!M78:P78)</f>
        <v>0.89</v>
      </c>
      <c r="N82" s="66">
        <f>SUM('QTD P&amp;L'!N78:Q78)</f>
        <v>0.84000000000000008</v>
      </c>
      <c r="O82" s="66">
        <f>SUM('QTD P&amp;L'!O78:R78)</f>
        <v>0.93</v>
      </c>
      <c r="P82" s="66">
        <f>SUM('QTD P&amp;L'!P78:S78)</f>
        <v>0.8600000000000001</v>
      </c>
      <c r="Q82" s="66">
        <f>SUM('QTD P&amp;L'!Q78:T78)</f>
        <v>0.96</v>
      </c>
      <c r="R82" s="66">
        <f>SUM('QTD P&amp;L'!R78:U78)</f>
        <v>1.0399999999999998</v>
      </c>
      <c r="S82" s="66">
        <v>1.19</v>
      </c>
    </row>
    <row r="83" spans="1:19" s="52" customFormat="1">
      <c r="A83" s="62"/>
      <c r="B83" s="63"/>
      <c r="C83" s="517" t="s">
        <v>35</v>
      </c>
      <c r="D83" s="63"/>
      <c r="E83" s="66">
        <f>SUM('QTD P&amp;L'!E79:H79)</f>
        <v>0.54</v>
      </c>
      <c r="F83" s="66">
        <f>SUM('QTD P&amp;L'!F79:I79)</f>
        <v>0.51</v>
      </c>
      <c r="G83" s="66">
        <v>0.69</v>
      </c>
      <c r="H83" s="66">
        <f>SUM('QTD P&amp;L'!H79:K79)</f>
        <v>0.7</v>
      </c>
      <c r="I83" s="66">
        <f>SUM('QTD P&amp;L'!I79:L79)</f>
        <v>0.67999999999999994</v>
      </c>
      <c r="J83" s="66">
        <f>SUM('QTD P&amp;L'!J79:M79)</f>
        <v>0.7599999999999999</v>
      </c>
      <c r="K83" s="66">
        <v>0.79</v>
      </c>
      <c r="L83" s="66">
        <f>SUM('QTD P&amp;L'!L79:O79)</f>
        <v>0.84</v>
      </c>
      <c r="M83" s="66">
        <f>SUM('QTD P&amp;L'!M79:P79)</f>
        <v>0.88</v>
      </c>
      <c r="N83" s="66">
        <f>SUM('QTD P&amp;L'!N79:Q79)</f>
        <v>0.83000000000000007</v>
      </c>
      <c r="O83" s="66">
        <v>0.93</v>
      </c>
      <c r="P83" s="66">
        <f>SUM('QTD P&amp;L'!P79:S79)</f>
        <v>0.85000000000000009</v>
      </c>
      <c r="Q83" s="66">
        <f>SUM('QTD P&amp;L'!Q79:T79)</f>
        <v>0.95</v>
      </c>
      <c r="R83" s="66">
        <f>SUM('QTD P&amp;L'!R79:U79)</f>
        <v>1.0299999999999998</v>
      </c>
      <c r="S83" s="66">
        <v>1.18</v>
      </c>
    </row>
    <row r="84" spans="1:19" s="52" customFormat="1">
      <c r="A84" s="62"/>
      <c r="B84" s="63"/>
      <c r="C84" s="65"/>
      <c r="D84" s="63"/>
      <c r="E84" s="70"/>
      <c r="F84" s="70"/>
      <c r="G84" s="70"/>
      <c r="H84" s="70"/>
      <c r="I84" s="70"/>
      <c r="J84" s="70"/>
      <c r="K84" s="70"/>
      <c r="L84" s="70"/>
      <c r="M84" s="477"/>
      <c r="N84" s="477"/>
      <c r="O84" s="477"/>
      <c r="P84" s="477"/>
      <c r="Q84" s="477"/>
      <c r="R84" s="477"/>
      <c r="S84" s="477"/>
    </row>
    <row r="85" spans="1:19">
      <c r="A85" s="20" t="s">
        <v>158</v>
      </c>
      <c r="B85" s="29"/>
      <c r="C85" s="18"/>
      <c r="D85" s="29"/>
      <c r="E85" s="34"/>
      <c r="F85" s="34"/>
      <c r="G85" s="34"/>
      <c r="H85" s="34"/>
      <c r="I85" s="34"/>
      <c r="J85" s="34"/>
      <c r="K85" s="34"/>
      <c r="L85" s="34"/>
      <c r="M85" s="478"/>
      <c r="N85" s="478"/>
      <c r="O85" s="478"/>
      <c r="P85" s="478"/>
      <c r="Q85" s="478"/>
      <c r="R85" s="478"/>
      <c r="S85" s="478"/>
    </row>
    <row r="86" spans="1:19">
      <c r="A86" s="32"/>
      <c r="B86" s="29"/>
      <c r="C86" s="18"/>
      <c r="D86" s="29"/>
      <c r="E86" s="19" t="str">
        <f t="shared" ref="E86:M87" si="45">E61</f>
        <v>Q2</v>
      </c>
      <c r="F86" s="19" t="str">
        <f t="shared" si="45"/>
        <v>Q3</v>
      </c>
      <c r="G86" s="19" t="str">
        <f t="shared" si="45"/>
        <v>Q4</v>
      </c>
      <c r="H86" s="19" t="str">
        <f t="shared" si="45"/>
        <v>Q1</v>
      </c>
      <c r="I86" s="19" t="str">
        <f t="shared" si="45"/>
        <v>Q2</v>
      </c>
      <c r="J86" s="19" t="str">
        <f t="shared" si="45"/>
        <v>Q3</v>
      </c>
      <c r="K86" s="19" t="str">
        <f t="shared" si="45"/>
        <v>Q4</v>
      </c>
      <c r="L86" s="19" t="str">
        <f t="shared" si="45"/>
        <v>Q1</v>
      </c>
      <c r="M86" s="19" t="str">
        <f t="shared" si="45"/>
        <v>Q2</v>
      </c>
      <c r="N86" s="19" t="str">
        <f t="shared" ref="N86:O87" si="46">N61</f>
        <v>Q3</v>
      </c>
      <c r="O86" s="19" t="str">
        <f t="shared" si="46"/>
        <v>Q4</v>
      </c>
      <c r="P86" s="19" t="str">
        <f t="shared" ref="P86:Q87" si="47">P61</f>
        <v>Q1</v>
      </c>
      <c r="Q86" s="19" t="str">
        <f t="shared" si="47"/>
        <v>Q2</v>
      </c>
      <c r="R86" s="19" t="str">
        <f t="shared" ref="R86:S86" si="48">R61</f>
        <v>Q3</v>
      </c>
      <c r="S86" s="19" t="str">
        <f t="shared" si="48"/>
        <v>Q4</v>
      </c>
    </row>
    <row r="87" spans="1:19">
      <c r="A87" s="473"/>
      <c r="B87" s="473"/>
      <c r="C87" s="473"/>
      <c r="D87" s="473"/>
      <c r="E87" s="19" t="str">
        <f t="shared" si="45"/>
        <v>CY09</v>
      </c>
      <c r="F87" s="19" t="str">
        <f t="shared" si="45"/>
        <v>CY09</v>
      </c>
      <c r="G87" s="19" t="str">
        <f t="shared" si="45"/>
        <v>CY09</v>
      </c>
      <c r="H87" s="19" t="str">
        <f t="shared" si="45"/>
        <v>CY10</v>
      </c>
      <c r="I87" s="19" t="str">
        <f t="shared" si="45"/>
        <v>CY10</v>
      </c>
      <c r="J87" s="19" t="str">
        <f t="shared" si="45"/>
        <v>CY10</v>
      </c>
      <c r="K87" s="19" t="str">
        <f t="shared" si="45"/>
        <v>CY10</v>
      </c>
      <c r="L87" s="19" t="str">
        <f t="shared" si="45"/>
        <v>CY11</v>
      </c>
      <c r="M87" s="19" t="str">
        <f t="shared" si="45"/>
        <v>CY11</v>
      </c>
      <c r="N87" s="19" t="str">
        <f t="shared" si="46"/>
        <v>CY11</v>
      </c>
      <c r="O87" s="19" t="str">
        <f t="shared" si="46"/>
        <v>CY11</v>
      </c>
      <c r="P87" s="19" t="str">
        <f t="shared" si="47"/>
        <v>CY12</v>
      </c>
      <c r="Q87" s="19" t="str">
        <f t="shared" si="47"/>
        <v>CY12</v>
      </c>
      <c r="R87" s="19" t="str">
        <f t="shared" ref="R87:S87" si="49">R62</f>
        <v>CY12</v>
      </c>
      <c r="S87" s="19" t="str">
        <f t="shared" si="49"/>
        <v>CY12</v>
      </c>
    </row>
    <row r="88" spans="1:19">
      <c r="A88" s="32"/>
      <c r="B88" s="29"/>
      <c r="C88" s="18"/>
      <c r="D88" s="29"/>
      <c r="E88" s="45" t="str">
        <f t="shared" ref="E88:M88" si="50">E63</f>
        <v>TTM</v>
      </c>
      <c r="F88" s="45" t="str">
        <f t="shared" si="50"/>
        <v>TTM</v>
      </c>
      <c r="G88" s="45" t="str">
        <f t="shared" si="50"/>
        <v>TTM</v>
      </c>
      <c r="H88" s="45" t="str">
        <f t="shared" si="50"/>
        <v>TTM</v>
      </c>
      <c r="I88" s="45" t="str">
        <f t="shared" si="50"/>
        <v>TTM</v>
      </c>
      <c r="J88" s="45" t="str">
        <f t="shared" si="50"/>
        <v>TTM</v>
      </c>
      <c r="K88" s="45" t="str">
        <f t="shared" si="50"/>
        <v>TTM</v>
      </c>
      <c r="L88" s="45" t="str">
        <f t="shared" si="50"/>
        <v>TTM</v>
      </c>
      <c r="M88" s="45" t="str">
        <f t="shared" si="50"/>
        <v>TTM</v>
      </c>
      <c r="N88" s="45" t="str">
        <f t="shared" ref="N88:O88" si="51">N63</f>
        <v>TTM</v>
      </c>
      <c r="O88" s="45" t="str">
        <f t="shared" si="51"/>
        <v>TTM</v>
      </c>
      <c r="P88" s="45" t="str">
        <f t="shared" ref="P88:Q88" si="52">P63</f>
        <v>TTM</v>
      </c>
      <c r="Q88" s="45" t="str">
        <f t="shared" si="52"/>
        <v>TTM</v>
      </c>
      <c r="R88" s="45" t="str">
        <f t="shared" ref="R88:S88" si="53">R63</f>
        <v>TTM</v>
      </c>
      <c r="S88" s="45" t="str">
        <f t="shared" si="53"/>
        <v>TTM</v>
      </c>
    </row>
    <row r="89" spans="1:19">
      <c r="A89" s="32"/>
      <c r="B89" s="29"/>
      <c r="C89" s="18"/>
      <c r="D89" s="29"/>
      <c r="E89" s="34"/>
      <c r="F89" s="34"/>
      <c r="G89" s="34"/>
      <c r="H89" s="34"/>
      <c r="I89" s="34"/>
      <c r="J89" s="34"/>
      <c r="K89" s="34"/>
      <c r="L89" s="34"/>
      <c r="M89" s="18"/>
      <c r="N89" s="18"/>
      <c r="O89" s="18"/>
      <c r="P89" s="18"/>
      <c r="Q89" s="18"/>
      <c r="R89" s="18"/>
      <c r="S89" s="18"/>
    </row>
    <row r="90" spans="1:19">
      <c r="A90" s="32"/>
      <c r="B90" s="1" t="s">
        <v>215</v>
      </c>
      <c r="C90" s="18"/>
      <c r="D90" s="29"/>
      <c r="E90" s="34"/>
      <c r="F90" s="34"/>
      <c r="G90" s="34"/>
      <c r="H90" s="34"/>
      <c r="I90" s="34"/>
      <c r="J90" s="34"/>
      <c r="K90" s="34"/>
      <c r="L90" s="34"/>
      <c r="M90" s="18"/>
      <c r="N90" s="18"/>
      <c r="O90" s="18"/>
      <c r="P90" s="18"/>
      <c r="Q90" s="18"/>
      <c r="R90" s="18"/>
      <c r="S90" s="18"/>
    </row>
    <row r="91" spans="1:19" s="48" customFormat="1">
      <c r="A91" s="10"/>
      <c r="B91" s="2"/>
      <c r="C91" s="2" t="s">
        <v>226</v>
      </c>
      <c r="D91" s="10"/>
      <c r="E91" s="39">
        <f t="shared" ref="E91:M91" si="54">E67/E$65</f>
        <v>0.36597600872410035</v>
      </c>
      <c r="F91" s="39">
        <f t="shared" si="54"/>
        <v>0.34869132597880165</v>
      </c>
      <c r="G91" s="39">
        <f t="shared" si="54"/>
        <v>0.32293193717277485</v>
      </c>
      <c r="H91" s="39">
        <f t="shared" si="54"/>
        <v>0.3162644281217209</v>
      </c>
      <c r="I91" s="39">
        <f t="shared" si="54"/>
        <v>0.30901656982999787</v>
      </c>
      <c r="J91" s="39">
        <f t="shared" si="54"/>
        <v>0.30069488313329124</v>
      </c>
      <c r="K91" s="39">
        <f t="shared" si="54"/>
        <v>0.28065792213200086</v>
      </c>
      <c r="L91" s="39">
        <f t="shared" si="54"/>
        <v>0.27090646293619658</v>
      </c>
      <c r="M91" s="39">
        <f t="shared" si="54"/>
        <v>0.26363449269396994</v>
      </c>
      <c r="N91" s="39">
        <f t="shared" ref="N91:O103" si="55">N67/N$65</f>
        <v>0.26204363793475915</v>
      </c>
      <c r="O91" s="39">
        <f t="shared" si="55"/>
        <v>0.24972154154600135</v>
      </c>
      <c r="P91" s="39">
        <f t="shared" ref="P91:Q91" si="56">P67/P$65</f>
        <v>0.25248785003471419</v>
      </c>
      <c r="Q91" s="39">
        <f t="shared" si="56"/>
        <v>0.24037639007698888</v>
      </c>
      <c r="R91" s="39">
        <f t="shared" ref="R91:S103" si="57">R67/R$65</f>
        <v>0.236875</v>
      </c>
      <c r="S91" s="39">
        <f t="shared" si="57"/>
        <v>0.22378183276518948</v>
      </c>
    </row>
    <row r="92" spans="1:19" s="48" customFormat="1">
      <c r="A92" s="10"/>
      <c r="B92" s="2"/>
      <c r="C92" s="2" t="s">
        <v>256</v>
      </c>
      <c r="D92" s="10"/>
      <c r="E92" s="39">
        <f t="shared" ref="E92:M92" si="58">E68/E$65</f>
        <v>4.3402399127589968E-2</v>
      </c>
      <c r="F92" s="39">
        <f t="shared" si="58"/>
        <v>4.5641358425264983E-2</v>
      </c>
      <c r="G92" s="39">
        <f t="shared" si="58"/>
        <v>4.4397905759162304E-2</v>
      </c>
      <c r="H92" s="39">
        <f t="shared" si="58"/>
        <v>4.5750262329485834E-2</v>
      </c>
      <c r="I92" s="39">
        <f t="shared" si="58"/>
        <v>4.7772756617172368E-2</v>
      </c>
      <c r="J92" s="39">
        <f t="shared" si="58"/>
        <v>4.8641819330385347E-2</v>
      </c>
      <c r="K92" s="39">
        <f t="shared" si="58"/>
        <v>5.2050801582344368E-2</v>
      </c>
      <c r="L92" s="39">
        <f t="shared" si="58"/>
        <v>5.3892215568862277E-2</v>
      </c>
      <c r="M92" s="39">
        <f t="shared" si="58"/>
        <v>5.515538176579543E-2</v>
      </c>
      <c r="N92" s="39">
        <f t="shared" si="55"/>
        <v>5.7679844458846406E-2</v>
      </c>
      <c r="O92" s="39">
        <f t="shared" si="55"/>
        <v>5.6805524615727333E-2</v>
      </c>
      <c r="P92" s="39">
        <f t="shared" ref="P92:Q92" si="59">P68/P$65</f>
        <v>5.9939828743346447E-2</v>
      </c>
      <c r="Q92" s="39">
        <f t="shared" si="59"/>
        <v>5.731394354148845E-2</v>
      </c>
      <c r="R92" s="39">
        <f t="shared" si="57"/>
        <v>5.5625000000000001E-2</v>
      </c>
      <c r="S92" s="39">
        <f t="shared" si="57"/>
        <v>5.2937637858431925E-2</v>
      </c>
    </row>
    <row r="93" spans="1:19" s="48" customFormat="1">
      <c r="A93" s="10"/>
      <c r="B93" s="2"/>
      <c r="C93" s="2" t="s">
        <v>224</v>
      </c>
      <c r="D93" s="10"/>
      <c r="E93" s="39">
        <f t="shared" ref="E93:M93" si="60">E69/E$65</f>
        <v>5.5398037077426389E-2</v>
      </c>
      <c r="F93" s="39">
        <f t="shared" si="60"/>
        <v>6.5541855937702787E-2</v>
      </c>
      <c r="G93" s="39">
        <f t="shared" si="60"/>
        <v>5.1099476439790577E-2</v>
      </c>
      <c r="H93" s="39">
        <f t="shared" si="60"/>
        <v>5.1626442812172088E-2</v>
      </c>
      <c r="I93" s="39">
        <f t="shared" si="60"/>
        <v>5.6380460512158379E-2</v>
      </c>
      <c r="J93" s="39">
        <f t="shared" si="60"/>
        <v>5.0747525794904193E-2</v>
      </c>
      <c r="K93" s="39">
        <f t="shared" si="60"/>
        <v>5.9754320216531334E-2</v>
      </c>
      <c r="L93" s="39">
        <f t="shared" si="60"/>
        <v>5.6370018583522613E-2</v>
      </c>
      <c r="M93" s="39">
        <f t="shared" si="60"/>
        <v>4.7952253550113191E-2</v>
      </c>
      <c r="N93" s="39">
        <f t="shared" si="55"/>
        <v>4.1909699719161808E-2</v>
      </c>
      <c r="O93" s="39">
        <f t="shared" si="55"/>
        <v>3.5419915348629982E-2</v>
      </c>
      <c r="P93" s="39">
        <f t="shared" ref="P93:Q93" si="61">P69/P$65</f>
        <v>3.5871326081925482E-2</v>
      </c>
      <c r="Q93" s="39">
        <f t="shared" si="61"/>
        <v>4.2130025662959793E-2</v>
      </c>
      <c r="R93" s="39">
        <f t="shared" si="57"/>
        <v>4.6666666666666669E-2</v>
      </c>
      <c r="S93" s="39">
        <f t="shared" si="57"/>
        <v>4.4315219570884301E-2</v>
      </c>
    </row>
    <row r="94" spans="1:19" s="48" customFormat="1">
      <c r="A94" s="10"/>
      <c r="B94" s="2"/>
      <c r="C94" s="2" t="s">
        <v>225</v>
      </c>
      <c r="D94" s="10"/>
      <c r="E94" s="39">
        <f t="shared" ref="E94:M94" si="62">E70/E$65</f>
        <v>3.162486368593239E-2</v>
      </c>
      <c r="F94" s="39">
        <f t="shared" si="62"/>
        <v>3.3960631624486266E-2</v>
      </c>
      <c r="G94" s="39">
        <f t="shared" si="62"/>
        <v>2.6596858638743455E-2</v>
      </c>
      <c r="H94" s="39">
        <f t="shared" si="62"/>
        <v>2.4134312696747113E-2</v>
      </c>
      <c r="I94" s="39">
        <f t="shared" si="62"/>
        <v>2.2595222724338282E-2</v>
      </c>
      <c r="J94" s="39">
        <f t="shared" si="62"/>
        <v>2.1899347230996E-2</v>
      </c>
      <c r="K94" s="39">
        <f t="shared" si="62"/>
        <v>2.0820320632937747E-2</v>
      </c>
      <c r="L94" s="39">
        <f t="shared" si="62"/>
        <v>1.858352260995251E-2</v>
      </c>
      <c r="M94" s="39">
        <f t="shared" si="62"/>
        <v>1.7287507717637374E-2</v>
      </c>
      <c r="N94" s="39">
        <f t="shared" si="55"/>
        <v>1.4257939079714841E-2</v>
      </c>
      <c r="O94" s="39">
        <f t="shared" si="55"/>
        <v>1.6039206950323012E-2</v>
      </c>
      <c r="P94" s="39">
        <f t="shared" ref="P94:Q94" si="63">P70/P$65</f>
        <v>1.5505669983800046E-2</v>
      </c>
      <c r="Q94" s="39">
        <f t="shared" si="63"/>
        <v>1.5611633875106929E-2</v>
      </c>
      <c r="R94" s="39">
        <f t="shared" si="57"/>
        <v>1.5625E-2</v>
      </c>
      <c r="S94" s="39">
        <f t="shared" si="57"/>
        <v>1.2432324042510528E-2</v>
      </c>
    </row>
    <row r="95" spans="1:19">
      <c r="A95" s="10"/>
      <c r="B95" s="10"/>
      <c r="C95" s="6" t="s">
        <v>47</v>
      </c>
      <c r="D95" s="10"/>
      <c r="E95" s="39">
        <f t="shared" ref="E95:M95" si="64">E71/E$65</f>
        <v>0.11014176663031625</v>
      </c>
      <c r="F95" s="39">
        <f t="shared" si="64"/>
        <v>0.11118321436296777</v>
      </c>
      <c r="G95" s="39">
        <f t="shared" si="64"/>
        <v>0.1237696335078534</v>
      </c>
      <c r="H95" s="39">
        <f t="shared" si="64"/>
        <v>0.12801678908709338</v>
      </c>
      <c r="I95" s="39">
        <f t="shared" si="64"/>
        <v>0.12846998063266624</v>
      </c>
      <c r="J95" s="39">
        <f t="shared" si="64"/>
        <v>0.12528953463887135</v>
      </c>
      <c r="K95" s="39">
        <f t="shared" si="64"/>
        <v>0.12783676868623778</v>
      </c>
      <c r="L95" s="39">
        <f t="shared" si="64"/>
        <v>0.12533553582490192</v>
      </c>
      <c r="M95" s="39">
        <f t="shared" si="64"/>
        <v>0.12595184194278658</v>
      </c>
      <c r="N95" s="39">
        <f t="shared" si="55"/>
        <v>0.13545042125729098</v>
      </c>
      <c r="O95" s="39">
        <f t="shared" si="55"/>
        <v>0.1312096235241702</v>
      </c>
      <c r="P95" s="39">
        <f t="shared" ref="P95:Q95" si="65">P71/P$65</f>
        <v>0.1309881971765795</v>
      </c>
      <c r="Q95" s="39">
        <f t="shared" si="65"/>
        <v>0.12788708297690335</v>
      </c>
      <c r="R95" s="39">
        <f t="shared" si="57"/>
        <v>0.12375</v>
      </c>
      <c r="S95" s="39">
        <f t="shared" si="57"/>
        <v>0.1171044716262282</v>
      </c>
    </row>
    <row r="96" spans="1:19">
      <c r="A96" s="10"/>
      <c r="B96" s="10"/>
      <c r="C96" s="6" t="s">
        <v>48</v>
      </c>
      <c r="D96" s="10"/>
      <c r="E96" s="39">
        <f t="shared" ref="E96:M103" si="66">E72/E$65</f>
        <v>0.11254089422028353</v>
      </c>
      <c r="F96" s="39">
        <f t="shared" si="66"/>
        <v>0.12026822409690677</v>
      </c>
      <c r="G96" s="39">
        <f t="shared" si="66"/>
        <v>0.1124607329842932</v>
      </c>
      <c r="H96" s="39">
        <f t="shared" si="66"/>
        <v>0.1080797481636936</v>
      </c>
      <c r="I96" s="39">
        <f t="shared" si="66"/>
        <v>0.11276092102431676</v>
      </c>
      <c r="J96" s="39">
        <f t="shared" si="66"/>
        <v>0.10549589387239419</v>
      </c>
      <c r="K96" s="39">
        <f t="shared" si="66"/>
        <v>0.10576722881532376</v>
      </c>
      <c r="L96" s="39">
        <f t="shared" si="66"/>
        <v>0.10592607887672929</v>
      </c>
      <c r="M96" s="39">
        <f>M72/M$65</f>
        <v>9.9197365713109692E-2</v>
      </c>
      <c r="N96" s="39">
        <f t="shared" si="55"/>
        <v>0.10520630805789587</v>
      </c>
      <c r="O96" s="39">
        <f t="shared" si="55"/>
        <v>0.12007128536422365</v>
      </c>
      <c r="P96" s="39">
        <f t="shared" ref="P96:Q96" si="67">P72/P$65</f>
        <v>0.12983105762554964</v>
      </c>
      <c r="Q96" s="39">
        <f t="shared" si="67"/>
        <v>0.12917023096663816</v>
      </c>
      <c r="R96" s="39">
        <f t="shared" si="57"/>
        <v>0.12916666666666668</v>
      </c>
      <c r="S96" s="39">
        <f t="shared" si="57"/>
        <v>0.11429717264888711</v>
      </c>
    </row>
    <row r="97" spans="1:19" ht="16.5">
      <c r="A97" s="10"/>
      <c r="B97" s="10"/>
      <c r="C97" s="6" t="s">
        <v>49</v>
      </c>
      <c r="D97" s="10"/>
      <c r="E97" s="40">
        <f t="shared" si="66"/>
        <v>5.3871319520174481E-2</v>
      </c>
      <c r="F97" s="40">
        <f t="shared" si="66"/>
        <v>5.9701492537313432E-2</v>
      </c>
      <c r="G97" s="40">
        <f t="shared" si="66"/>
        <v>6.0314136125654449E-2</v>
      </c>
      <c r="H97" s="40">
        <f t="shared" si="66"/>
        <v>5.7502623294858342E-2</v>
      </c>
      <c r="I97" s="40">
        <f t="shared" si="66"/>
        <v>5.9393156875403488E-2</v>
      </c>
      <c r="J97" s="40">
        <f t="shared" si="66"/>
        <v>6.2118340703305956E-2</v>
      </c>
      <c r="K97" s="40">
        <f t="shared" si="66"/>
        <v>6.7666042057047682E-2</v>
      </c>
      <c r="L97" s="40">
        <f t="shared" si="66"/>
        <v>7.4953541193475123E-2</v>
      </c>
      <c r="M97" s="40">
        <f>M73/M$65</f>
        <v>8.4585305618440007E-2</v>
      </c>
      <c r="N97" s="40">
        <f t="shared" si="55"/>
        <v>8.7707928278245847E-2</v>
      </c>
      <c r="O97" s="40">
        <f t="shared" si="55"/>
        <v>8.8215638226776569E-2</v>
      </c>
      <c r="P97" s="40">
        <f t="shared" ref="P97:Q97" si="68">P73/P$65</f>
        <v>9.0719740800740564E-2</v>
      </c>
      <c r="Q97" s="40">
        <f t="shared" si="68"/>
        <v>9.5594525235243796E-2</v>
      </c>
      <c r="R97" s="40">
        <f t="shared" si="57"/>
        <v>9.3541666666666662E-2</v>
      </c>
      <c r="S97" s="40">
        <f t="shared" si="57"/>
        <v>9.4646079807499492E-2</v>
      </c>
    </row>
    <row r="98" spans="1:19" ht="16.5">
      <c r="A98" s="10"/>
      <c r="B98" s="10"/>
      <c r="C98" s="10"/>
      <c r="D98" s="10" t="s">
        <v>0</v>
      </c>
      <c r="E98" s="40">
        <f>E74/E$65</f>
        <v>0.77295528898582333</v>
      </c>
      <c r="F98" s="40">
        <f t="shared" si="66"/>
        <v>0.78498810296344368</v>
      </c>
      <c r="G98" s="40">
        <f t="shared" si="66"/>
        <v>0.74157068062827225</v>
      </c>
      <c r="H98" s="40">
        <f t="shared" si="66"/>
        <v>0.73137460650577124</v>
      </c>
      <c r="I98" s="40">
        <f t="shared" si="66"/>
        <v>0.73638906821605332</v>
      </c>
      <c r="J98" s="40">
        <f t="shared" si="66"/>
        <v>0.71488734470414828</v>
      </c>
      <c r="K98" s="40">
        <f t="shared" si="66"/>
        <v>0.71455340412242352</v>
      </c>
      <c r="L98" s="40">
        <f t="shared" si="66"/>
        <v>0.70596737559364031</v>
      </c>
      <c r="M98" s="40">
        <f t="shared" si="66"/>
        <v>0.69376414900185224</v>
      </c>
      <c r="N98" s="40">
        <f t="shared" si="55"/>
        <v>0.70425577878591483</v>
      </c>
      <c r="O98" s="40">
        <f t="shared" si="55"/>
        <v>0.69748273557585205</v>
      </c>
      <c r="P98" s="40">
        <f t="shared" ref="P98:Q98" si="69">P74/P$65</f>
        <v>0.71534367044665592</v>
      </c>
      <c r="Q98" s="40">
        <f t="shared" si="69"/>
        <v>0.70808383233532934</v>
      </c>
      <c r="R98" s="40">
        <f t="shared" si="57"/>
        <v>0.70125000000000004</v>
      </c>
      <c r="S98" s="40">
        <f t="shared" si="57"/>
        <v>0.65951473831963103</v>
      </c>
    </row>
    <row r="99" spans="1:19">
      <c r="A99" s="11"/>
      <c r="B99" s="25" t="s">
        <v>1</v>
      </c>
      <c r="C99" s="3"/>
      <c r="D99" s="11"/>
      <c r="E99" s="38">
        <f t="shared" ref="E99:L103" si="70">E75/E$65</f>
        <v>0.22704471101417667</v>
      </c>
      <c r="F99" s="38">
        <f t="shared" si="70"/>
        <v>0.21501189703655635</v>
      </c>
      <c r="G99" s="38">
        <f t="shared" si="70"/>
        <v>0.25842931937172775</v>
      </c>
      <c r="H99" s="38">
        <f t="shared" si="70"/>
        <v>0.26862539349422876</v>
      </c>
      <c r="I99" s="38">
        <f t="shared" si="70"/>
        <v>0.26361093178394662</v>
      </c>
      <c r="J99" s="38">
        <f t="shared" si="70"/>
        <v>0.28511265529585178</v>
      </c>
      <c r="K99" s="38">
        <f t="shared" si="70"/>
        <v>0.28544659587757654</v>
      </c>
      <c r="L99" s="38">
        <f t="shared" si="70"/>
        <v>0.29403262440635969</v>
      </c>
      <c r="M99" s="38">
        <f t="shared" si="66"/>
        <v>0.30623585099814776</v>
      </c>
      <c r="N99" s="38">
        <f t="shared" si="55"/>
        <v>0.29574422121408511</v>
      </c>
      <c r="O99" s="38">
        <f t="shared" si="55"/>
        <v>0.30251726442414789</v>
      </c>
      <c r="P99" s="38">
        <f t="shared" ref="P99:Q99" si="71">P75/P$65</f>
        <v>0.28465632955334413</v>
      </c>
      <c r="Q99" s="38">
        <f t="shared" si="71"/>
        <v>0.29191616766467066</v>
      </c>
      <c r="R99" s="38">
        <f t="shared" si="57"/>
        <v>0.29875000000000002</v>
      </c>
      <c r="S99" s="38">
        <f t="shared" si="57"/>
        <v>0.34048526168036897</v>
      </c>
    </row>
    <row r="100" spans="1:19" ht="16.5">
      <c r="A100" s="12"/>
      <c r="B100" s="2" t="s">
        <v>251</v>
      </c>
      <c r="C100" s="12"/>
      <c r="D100" s="12"/>
      <c r="E100" s="40">
        <f t="shared" si="70"/>
        <v>1.1341330425299891E-2</v>
      </c>
      <c r="F100" s="40">
        <f t="shared" si="70"/>
        <v>6.7056024226692622E-3</v>
      </c>
      <c r="G100" s="40">
        <f t="shared" si="70"/>
        <v>2.0942408376963353E-3</v>
      </c>
      <c r="H100" s="40">
        <f t="shared" si="70"/>
        <v>0</v>
      </c>
      <c r="I100" s="40">
        <f t="shared" si="70"/>
        <v>2.1519259737465033E-4</v>
      </c>
      <c r="J100" s="40">
        <f t="shared" si="70"/>
        <v>2.5268477574226151E-3</v>
      </c>
      <c r="K100" s="40">
        <f t="shared" si="70"/>
        <v>4.7886737455756822E-3</v>
      </c>
      <c r="L100" s="40">
        <f t="shared" si="70"/>
        <v>5.1620896138756967E-3</v>
      </c>
      <c r="M100" s="40">
        <f t="shared" si="66"/>
        <v>5.3508952459353776E-3</v>
      </c>
      <c r="N100" s="40">
        <f t="shared" si="55"/>
        <v>3.2404406999351912E-3</v>
      </c>
      <c r="O100" s="40">
        <f t="shared" si="55"/>
        <v>6.6830028959679211E-4</v>
      </c>
      <c r="P100" s="40">
        <f t="shared" ref="P100:Q100" si="72">P76/P$65</f>
        <v>2.3142791020597085E-4</v>
      </c>
      <c r="Q100" s="40">
        <f t="shared" si="72"/>
        <v>2.13857998289136E-4</v>
      </c>
      <c r="R100" s="40">
        <f t="shared" si="57"/>
        <v>-2.0833333333333335E-4</v>
      </c>
      <c r="S100" s="40">
        <f t="shared" si="57"/>
        <v>1.4036494886705434E-3</v>
      </c>
    </row>
    <row r="101" spans="1:19">
      <c r="A101" s="12"/>
      <c r="B101" s="22" t="s">
        <v>52</v>
      </c>
      <c r="C101" s="4"/>
      <c r="D101" s="12"/>
      <c r="E101" s="39">
        <f t="shared" si="70"/>
        <v>0.23838604143947656</v>
      </c>
      <c r="F101" s="39">
        <f t="shared" si="70"/>
        <v>0.22171749945922561</v>
      </c>
      <c r="G101" s="39">
        <f t="shared" si="70"/>
        <v>0.26052356020942408</v>
      </c>
      <c r="H101" s="39">
        <f t="shared" si="70"/>
        <v>0.26862539349422876</v>
      </c>
      <c r="I101" s="39">
        <f t="shared" si="70"/>
        <v>0.2638261243813213</v>
      </c>
      <c r="J101" s="39">
        <f t="shared" si="70"/>
        <v>0.28763950305327435</v>
      </c>
      <c r="K101" s="39">
        <f t="shared" si="70"/>
        <v>0.29023526962315221</v>
      </c>
      <c r="L101" s="39">
        <f t="shared" si="70"/>
        <v>0.2991947140202354</v>
      </c>
      <c r="M101" s="39">
        <f t="shared" si="66"/>
        <v>0.31158674624408317</v>
      </c>
      <c r="N101" s="39">
        <f t="shared" si="55"/>
        <v>0.29898466191402029</v>
      </c>
      <c r="O101" s="39">
        <f t="shared" si="55"/>
        <v>0.30318556471374469</v>
      </c>
      <c r="P101" s="39">
        <f t="shared" ref="P101:Q101" si="73">P77/P$65</f>
        <v>0.28488775746355011</v>
      </c>
      <c r="Q101" s="39">
        <f t="shared" si="73"/>
        <v>0.29213002566295981</v>
      </c>
      <c r="R101" s="39">
        <f t="shared" si="57"/>
        <v>0.29854166666666665</v>
      </c>
      <c r="S101" s="39">
        <f t="shared" si="57"/>
        <v>0.34188891116903952</v>
      </c>
    </row>
    <row r="102" spans="1:19" ht="16.5">
      <c r="A102" s="12"/>
      <c r="B102" s="2" t="s">
        <v>53</v>
      </c>
      <c r="C102" s="4"/>
      <c r="D102" s="12"/>
      <c r="E102" s="40">
        <f t="shared" si="70"/>
        <v>7.6117775354416578E-2</v>
      </c>
      <c r="F102" s="40">
        <f t="shared" si="70"/>
        <v>6.8786502271252437E-2</v>
      </c>
      <c r="G102" s="40">
        <f t="shared" si="70"/>
        <v>6.9947643979057589E-2</v>
      </c>
      <c r="H102" s="40">
        <f t="shared" si="70"/>
        <v>7.6600209863588661E-2</v>
      </c>
      <c r="I102" s="40">
        <f t="shared" si="70"/>
        <v>7.5532601678502259E-2</v>
      </c>
      <c r="J102" s="40">
        <f t="shared" si="70"/>
        <v>8.3807117287850078E-2</v>
      </c>
      <c r="K102" s="40">
        <f t="shared" si="70"/>
        <v>8.3905892150739125E-2</v>
      </c>
      <c r="L102" s="40">
        <f t="shared" si="70"/>
        <v>8.6310138344001655E-2</v>
      </c>
      <c r="M102" s="40">
        <f t="shared" si="66"/>
        <v>8.9936200864375385E-2</v>
      </c>
      <c r="N102" s="40">
        <f t="shared" si="55"/>
        <v>7.9498811838410025E-2</v>
      </c>
      <c r="O102" s="40">
        <f t="shared" si="55"/>
        <v>6.1038093116507014E-2</v>
      </c>
      <c r="P102" s="40">
        <f t="shared" ref="P102:Q102" si="74">P78/P$65</f>
        <v>5.4154130988197179E-2</v>
      </c>
      <c r="Q102" s="40">
        <f t="shared" si="74"/>
        <v>5.6244653550042774E-2</v>
      </c>
      <c r="R102" s="40">
        <f t="shared" si="57"/>
        <v>5.1874999999999998E-2</v>
      </c>
      <c r="S102" s="40">
        <f t="shared" si="57"/>
        <v>7.1185081211148984E-2</v>
      </c>
    </row>
    <row r="103" spans="1:19" ht="16.5">
      <c r="A103" s="9"/>
      <c r="B103" s="25" t="s">
        <v>2</v>
      </c>
      <c r="C103" s="9"/>
      <c r="D103" s="9"/>
      <c r="E103" s="41">
        <f t="shared" si="70"/>
        <v>0.16226826608505998</v>
      </c>
      <c r="F103" s="41">
        <f t="shared" si="70"/>
        <v>0.15293099718797318</v>
      </c>
      <c r="G103" s="41">
        <f t="shared" si="70"/>
        <v>0.19057591623036649</v>
      </c>
      <c r="H103" s="41">
        <f t="shared" si="70"/>
        <v>0.19202518363064008</v>
      </c>
      <c r="I103" s="41">
        <f t="shared" si="70"/>
        <v>0.18829352270281902</v>
      </c>
      <c r="J103" s="41">
        <f t="shared" si="70"/>
        <v>0.20383238576542431</v>
      </c>
      <c r="K103" s="41">
        <f t="shared" si="70"/>
        <v>0.20632937747241306</v>
      </c>
      <c r="L103" s="41">
        <f t="shared" si="70"/>
        <v>0.21288457567623373</v>
      </c>
      <c r="M103" s="41">
        <f t="shared" si="66"/>
        <v>0.22165054537970777</v>
      </c>
      <c r="N103" s="41">
        <f t="shared" si="55"/>
        <v>0.21948585007561028</v>
      </c>
      <c r="O103" s="41">
        <f t="shared" si="55"/>
        <v>0.24214747159723768</v>
      </c>
      <c r="P103" s="41">
        <f t="shared" ref="P103:Q103" si="75">P79/P$65</f>
        <v>0.23073362647535292</v>
      </c>
      <c r="Q103" s="41">
        <f t="shared" si="75"/>
        <v>0.23588537211291702</v>
      </c>
      <c r="R103" s="41">
        <f t="shared" si="57"/>
        <v>0.24666666666666667</v>
      </c>
      <c r="S103" s="41">
        <f t="shared" si="57"/>
        <v>0.2707038299578905</v>
      </c>
    </row>
    <row r="104" spans="1:19">
      <c r="E104" s="48"/>
    </row>
    <row r="105" spans="1:19">
      <c r="A105" s="27"/>
    </row>
  </sheetData>
  <mergeCells count="3">
    <mergeCell ref="A1:T1"/>
    <mergeCell ref="A2:T2"/>
    <mergeCell ref="A3:T3"/>
  </mergeCells>
  <conditionalFormatting sqref="B61:B62 C59:C62">
    <cfRule type="cellIs" dxfId="0" priority="1" stopIfTrue="1" operator="equal">
      <formula>"tie to PF Core IS"</formula>
    </cfRule>
  </conditionalFormatting>
  <pageMargins left="0.7" right="0.7" top="0.25" bottom="0.44" header="0.3" footer="0.3"/>
  <pageSetup scale="59" fitToHeight="2" orientation="landscape" r:id="rId1"/>
  <headerFooter>
    <oddFooter>&amp;LActivision Blizzard, Inc.&amp;R&amp;P of &amp; 17</oddFooter>
  </headerFooter>
  <rowBreaks count="1" manualBreakCount="1">
    <brk id="58"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5"/>
  <sheetViews>
    <sheetView showGridLines="0" view="pageBreakPreview" zoomScale="86" zoomScaleNormal="100" zoomScaleSheetLayoutView="86" workbookViewId="0">
      <pane xSplit="4" ySplit="8" topLeftCell="E9" activePane="bottomRight" state="frozen"/>
      <selection activeCell="A19" sqref="A19:R19"/>
      <selection pane="topRight" activeCell="A19" sqref="A19:R19"/>
      <selection pane="bottomLeft" activeCell="A19" sqref="A19:R19"/>
      <selection pane="bottomRight" activeCell="E9" sqref="E9"/>
    </sheetView>
  </sheetViews>
  <sheetFormatPr defaultColWidth="11.42578125" defaultRowHeight="12" outlineLevelRow="1" outlineLevelCol="1"/>
  <cols>
    <col min="1" max="1" width="2.85546875" style="327" customWidth="1"/>
    <col min="2" max="2" width="2" style="327" customWidth="1"/>
    <col min="3" max="3" width="2.85546875" style="327" customWidth="1"/>
    <col min="4" max="4" width="64.140625" style="327" customWidth="1"/>
    <col min="5" max="5" width="8.5703125" style="349" customWidth="1" outlineLevel="1"/>
    <col min="6" max="7" width="8.5703125" style="350" customWidth="1" outlineLevel="1"/>
    <col min="8" max="10" width="8.5703125" style="436" customWidth="1" outlineLevel="1"/>
    <col min="11" max="11" width="8.5703125" style="436" customWidth="1"/>
    <col min="12" max="13" width="8.5703125" style="435" customWidth="1"/>
    <col min="14" max="14" width="8.7109375" style="435" customWidth="1"/>
    <col min="15" max="22" width="8.5703125" style="435" customWidth="1"/>
    <col min="23" max="23" width="1.42578125" style="327" customWidth="1"/>
    <col min="24" max="16384" width="11.42578125" style="327"/>
  </cols>
  <sheetData>
    <row r="1" spans="2:23">
      <c r="B1" s="587" t="s">
        <v>76</v>
      </c>
      <c r="C1" s="587"/>
      <c r="D1" s="587"/>
      <c r="E1" s="587"/>
      <c r="F1" s="587"/>
      <c r="G1" s="587"/>
      <c r="H1" s="587"/>
      <c r="I1" s="587"/>
      <c r="J1" s="587"/>
      <c r="K1" s="587"/>
      <c r="L1" s="587"/>
      <c r="M1" s="587"/>
      <c r="N1" s="587"/>
      <c r="O1" s="587"/>
      <c r="P1" s="587"/>
      <c r="Q1" s="587"/>
      <c r="R1" s="587"/>
      <c r="S1" s="587"/>
      <c r="T1" s="587"/>
      <c r="U1" s="587"/>
      <c r="V1" s="587"/>
      <c r="W1" s="587"/>
    </row>
    <row r="2" spans="2:23" ht="12.75" customHeight="1">
      <c r="B2" s="587" t="s">
        <v>293</v>
      </c>
      <c r="C2" s="587"/>
      <c r="D2" s="587"/>
      <c r="E2" s="587"/>
      <c r="F2" s="587"/>
      <c r="G2" s="587"/>
      <c r="H2" s="587"/>
      <c r="I2" s="587"/>
      <c r="J2" s="587"/>
      <c r="K2" s="587"/>
      <c r="L2" s="587"/>
      <c r="M2" s="587"/>
      <c r="N2" s="587"/>
      <c r="O2" s="587"/>
      <c r="P2" s="587"/>
      <c r="Q2" s="587"/>
      <c r="R2" s="587"/>
      <c r="S2" s="587"/>
      <c r="T2" s="587"/>
      <c r="U2" s="587"/>
      <c r="V2" s="587"/>
      <c r="W2" s="587"/>
    </row>
    <row r="3" spans="2:23" s="328" customFormat="1" ht="12.75" customHeight="1">
      <c r="B3" s="587" t="s">
        <v>77</v>
      </c>
      <c r="C3" s="587"/>
      <c r="D3" s="587"/>
      <c r="E3" s="587"/>
      <c r="F3" s="587"/>
      <c r="G3" s="587"/>
      <c r="H3" s="587"/>
      <c r="I3" s="587"/>
      <c r="J3" s="587"/>
      <c r="K3" s="587"/>
      <c r="L3" s="587"/>
      <c r="M3" s="587"/>
      <c r="N3" s="587"/>
      <c r="O3" s="587"/>
      <c r="P3" s="587"/>
      <c r="Q3" s="587"/>
      <c r="R3" s="587"/>
      <c r="S3" s="587"/>
      <c r="T3" s="587"/>
      <c r="U3" s="587"/>
      <c r="V3" s="587"/>
      <c r="W3" s="587"/>
    </row>
    <row r="4" spans="2:23" s="328" customFormat="1" ht="12.75" customHeight="1">
      <c r="B4" s="329"/>
      <c r="C4" s="329"/>
      <c r="D4" s="329"/>
      <c r="E4" s="329"/>
      <c r="F4" s="329"/>
      <c r="G4" s="329"/>
      <c r="H4" s="437"/>
      <c r="I4" s="437"/>
      <c r="J4" s="437"/>
      <c r="K4" s="437"/>
      <c r="L4" s="437"/>
      <c r="M4" s="437"/>
      <c r="N4" s="437"/>
      <c r="O4" s="437"/>
      <c r="P4" s="436"/>
      <c r="Q4" s="436"/>
      <c r="R4" s="436"/>
      <c r="S4" s="436"/>
      <c r="T4" s="436"/>
      <c r="U4" s="436"/>
      <c r="V4" s="436"/>
    </row>
    <row r="5" spans="2:23" s="328" customFormat="1" ht="12.75" customHeight="1">
      <c r="E5" s="330"/>
      <c r="F5" s="331"/>
      <c r="G5" s="331"/>
      <c r="H5" s="438"/>
      <c r="I5" s="436"/>
      <c r="J5" s="436"/>
      <c r="K5" s="436"/>
      <c r="L5" s="436"/>
      <c r="M5" s="436"/>
      <c r="N5" s="436"/>
      <c r="O5" s="436"/>
      <c r="P5" s="436"/>
      <c r="Q5" s="436"/>
      <c r="R5" s="436"/>
      <c r="S5" s="436"/>
      <c r="T5" s="436"/>
      <c r="U5" s="436"/>
      <c r="V5" s="436"/>
    </row>
    <row r="6" spans="2:23" s="328" customFormat="1" ht="12.75" customHeight="1">
      <c r="E6" s="456" t="s">
        <v>229</v>
      </c>
      <c r="F6" s="329" t="s">
        <v>6</v>
      </c>
      <c r="G6" s="329" t="s">
        <v>3</v>
      </c>
      <c r="H6" s="437" t="s">
        <v>4</v>
      </c>
      <c r="I6" s="439" t="s">
        <v>5</v>
      </c>
      <c r="J6" s="439" t="s">
        <v>6</v>
      </c>
      <c r="K6" s="439" t="s">
        <v>3</v>
      </c>
      <c r="L6" s="439" t="s">
        <v>4</v>
      </c>
      <c r="M6" s="439" t="s">
        <v>5</v>
      </c>
      <c r="N6" s="439" t="s">
        <v>6</v>
      </c>
      <c r="O6" s="439" t="s">
        <v>3</v>
      </c>
      <c r="P6" s="439" t="s">
        <v>4</v>
      </c>
      <c r="Q6" s="439" t="s">
        <v>5</v>
      </c>
      <c r="R6" s="439" t="s">
        <v>6</v>
      </c>
      <c r="S6" s="439" t="s">
        <v>3</v>
      </c>
      <c r="T6" s="439" t="s">
        <v>4</v>
      </c>
      <c r="U6" s="439" t="s">
        <v>5</v>
      </c>
      <c r="V6" s="439" t="s">
        <v>6</v>
      </c>
    </row>
    <row r="7" spans="2:23" s="328" customFormat="1" ht="12.75" customHeight="1" thickBot="1">
      <c r="E7" s="333" t="s">
        <v>43</v>
      </c>
      <c r="F7" s="334" t="s">
        <v>43</v>
      </c>
      <c r="G7" s="334" t="s">
        <v>44</v>
      </c>
      <c r="H7" s="440" t="s">
        <v>44</v>
      </c>
      <c r="I7" s="439" t="s">
        <v>44</v>
      </c>
      <c r="J7" s="439" t="s">
        <v>44</v>
      </c>
      <c r="K7" s="439" t="s">
        <v>45</v>
      </c>
      <c r="L7" s="439" t="s">
        <v>45</v>
      </c>
      <c r="M7" s="439" t="s">
        <v>45</v>
      </c>
      <c r="N7" s="439" t="s">
        <v>45</v>
      </c>
      <c r="O7" s="439" t="s">
        <v>46</v>
      </c>
      <c r="P7" s="439" t="s">
        <v>46</v>
      </c>
      <c r="Q7" s="439" t="s">
        <v>46</v>
      </c>
      <c r="R7" s="439" t="s">
        <v>46</v>
      </c>
      <c r="S7" s="439" t="s">
        <v>266</v>
      </c>
      <c r="T7" s="439" t="s">
        <v>266</v>
      </c>
      <c r="U7" s="439" t="s">
        <v>266</v>
      </c>
      <c r="V7" s="439" t="s">
        <v>266</v>
      </c>
    </row>
    <row r="8" spans="2:23" s="328" customFormat="1" ht="12.75" customHeight="1">
      <c r="B8" s="341" t="s">
        <v>78</v>
      </c>
      <c r="C8" s="353"/>
      <c r="D8" s="353"/>
      <c r="E8" s="335"/>
      <c r="F8" s="335"/>
      <c r="G8" s="335"/>
      <c r="H8" s="441"/>
      <c r="I8" s="441"/>
      <c r="J8" s="441"/>
      <c r="K8" s="441"/>
      <c r="L8" s="441"/>
      <c r="M8" s="441"/>
      <c r="N8" s="441"/>
      <c r="O8" s="441"/>
      <c r="P8" s="441"/>
      <c r="Q8" s="441"/>
      <c r="R8" s="441"/>
      <c r="S8" s="441"/>
      <c r="T8" s="441"/>
      <c r="U8" s="441"/>
      <c r="V8" s="441"/>
    </row>
    <row r="9" spans="2:23" s="328" customFormat="1" ht="12.75" customHeight="1">
      <c r="C9" s="328" t="s">
        <v>192</v>
      </c>
      <c r="E9" s="336">
        <v>364</v>
      </c>
      <c r="F9" s="336">
        <v>1695</v>
      </c>
      <c r="G9" s="336">
        <v>348</v>
      </c>
      <c r="H9" s="442">
        <v>448</v>
      </c>
      <c r="I9" s="443">
        <v>415</v>
      </c>
      <c r="J9" s="443">
        <v>1945</v>
      </c>
      <c r="K9" s="443">
        <v>337</v>
      </c>
      <c r="L9" s="443">
        <v>333</v>
      </c>
      <c r="M9" s="443">
        <v>314</v>
      </c>
      <c r="N9" s="443">
        <v>1785</v>
      </c>
      <c r="O9" s="443">
        <v>323</v>
      </c>
      <c r="P9" s="443">
        <v>323</v>
      </c>
      <c r="Q9" s="443">
        <v>253</v>
      </c>
      <c r="R9" s="443">
        <v>1929</v>
      </c>
      <c r="S9" s="443">
        <v>271</v>
      </c>
      <c r="T9" s="443">
        <v>373</v>
      </c>
      <c r="U9" s="443">
        <v>283</v>
      </c>
      <c r="V9" s="443">
        <v>2145</v>
      </c>
    </row>
    <row r="10" spans="2:23" s="328" customFormat="1" ht="12.75" customHeight="1">
      <c r="C10" s="328" t="s">
        <v>193</v>
      </c>
      <c r="E10" s="336">
        <v>297</v>
      </c>
      <c r="F10" s="336">
        <v>477</v>
      </c>
      <c r="G10" s="336">
        <v>291</v>
      </c>
      <c r="H10" s="444">
        <v>290</v>
      </c>
      <c r="I10" s="443">
        <v>286</v>
      </c>
      <c r="J10" s="443">
        <v>329</v>
      </c>
      <c r="K10" s="443">
        <v>306</v>
      </c>
      <c r="L10" s="443">
        <v>299</v>
      </c>
      <c r="M10" s="443">
        <v>481</v>
      </c>
      <c r="N10" s="443">
        <v>570</v>
      </c>
      <c r="O10" s="443">
        <v>357</v>
      </c>
      <c r="P10" s="443">
        <v>313</v>
      </c>
      <c r="Q10" s="443">
        <v>297</v>
      </c>
      <c r="R10" s="443">
        <v>276</v>
      </c>
      <c r="S10" s="443">
        <v>251</v>
      </c>
      <c r="T10" s="443">
        <v>634</v>
      </c>
      <c r="U10" s="443">
        <v>414</v>
      </c>
      <c r="V10" s="443">
        <v>310</v>
      </c>
    </row>
    <row r="11" spans="2:23" s="328" customFormat="1" ht="12.75" customHeight="1">
      <c r="C11" s="328" t="s">
        <v>194</v>
      </c>
      <c r="E11" s="338">
        <v>56</v>
      </c>
      <c r="F11" s="338">
        <v>171</v>
      </c>
      <c r="G11" s="338">
        <v>85</v>
      </c>
      <c r="H11" s="445">
        <v>63</v>
      </c>
      <c r="I11" s="446">
        <v>54</v>
      </c>
      <c r="J11" s="446">
        <v>221</v>
      </c>
      <c r="K11" s="446">
        <v>71</v>
      </c>
      <c r="L11" s="446">
        <v>51</v>
      </c>
      <c r="M11" s="446">
        <v>62</v>
      </c>
      <c r="N11" s="446">
        <v>193</v>
      </c>
      <c r="O11" s="446">
        <v>75</v>
      </c>
      <c r="P11" s="446">
        <v>63</v>
      </c>
      <c r="Q11" s="446">
        <v>77</v>
      </c>
      <c r="R11" s="446">
        <v>203</v>
      </c>
      <c r="S11" s="446">
        <v>65</v>
      </c>
      <c r="T11" s="446">
        <v>47</v>
      </c>
      <c r="U11" s="446">
        <v>54</v>
      </c>
      <c r="V11" s="446">
        <v>140</v>
      </c>
    </row>
    <row r="12" spans="2:23" s="328" customFormat="1" ht="12.75" customHeight="1">
      <c r="C12" s="328" t="s">
        <v>79</v>
      </c>
      <c r="E12" s="337">
        <f t="shared" ref="E12:N12" si="0">SUM(E9:E11)</f>
        <v>717</v>
      </c>
      <c r="F12" s="337">
        <f t="shared" si="0"/>
        <v>2343</v>
      </c>
      <c r="G12" s="337">
        <f t="shared" si="0"/>
        <v>724</v>
      </c>
      <c r="H12" s="443">
        <f t="shared" si="0"/>
        <v>801</v>
      </c>
      <c r="I12" s="443">
        <f t="shared" si="0"/>
        <v>755</v>
      </c>
      <c r="J12" s="443">
        <f t="shared" si="0"/>
        <v>2495</v>
      </c>
      <c r="K12" s="443">
        <f t="shared" si="0"/>
        <v>714</v>
      </c>
      <c r="L12" s="443">
        <f t="shared" si="0"/>
        <v>683</v>
      </c>
      <c r="M12" s="443">
        <f t="shared" si="0"/>
        <v>857</v>
      </c>
      <c r="N12" s="443">
        <f t="shared" si="0"/>
        <v>2548</v>
      </c>
      <c r="O12" s="443">
        <f t="shared" ref="O12:T12" si="1">SUM(O9:O11)</f>
        <v>755</v>
      </c>
      <c r="P12" s="443">
        <f t="shared" si="1"/>
        <v>699</v>
      </c>
      <c r="Q12" s="443">
        <f t="shared" si="1"/>
        <v>627</v>
      </c>
      <c r="R12" s="443">
        <f t="shared" si="1"/>
        <v>2408</v>
      </c>
      <c r="S12" s="443">
        <f t="shared" si="1"/>
        <v>587</v>
      </c>
      <c r="T12" s="443">
        <f t="shared" si="1"/>
        <v>1054</v>
      </c>
      <c r="U12" s="443">
        <f t="shared" ref="U12:V12" si="2">SUM(U9:U11)</f>
        <v>751</v>
      </c>
      <c r="V12" s="443">
        <f t="shared" si="2"/>
        <v>2595</v>
      </c>
    </row>
    <row r="13" spans="2:23" s="328" customFormat="1" ht="12.75" customHeight="1">
      <c r="D13" s="404"/>
      <c r="E13" s="336"/>
      <c r="F13" s="340"/>
      <c r="G13" s="336"/>
      <c r="H13" s="444"/>
      <c r="I13" s="443"/>
      <c r="J13" s="443"/>
      <c r="K13" s="443"/>
      <c r="L13" s="444"/>
      <c r="M13" s="443"/>
      <c r="N13" s="443"/>
      <c r="O13" s="443"/>
      <c r="P13" s="443"/>
      <c r="Q13" s="443"/>
      <c r="R13" s="443"/>
      <c r="S13" s="443"/>
      <c r="T13" s="443"/>
      <c r="U13" s="443"/>
      <c r="V13" s="443"/>
    </row>
    <row r="14" spans="2:23" s="328" customFormat="1" ht="12.75" customHeight="1">
      <c r="B14" s="341" t="s">
        <v>80</v>
      </c>
      <c r="E14" s="336"/>
      <c r="F14" s="340"/>
      <c r="G14" s="336"/>
      <c r="H14" s="444"/>
      <c r="I14" s="443"/>
      <c r="J14" s="443"/>
      <c r="K14" s="443"/>
      <c r="L14" s="443"/>
      <c r="M14" s="443"/>
      <c r="N14" s="443"/>
      <c r="O14" s="443"/>
      <c r="P14" s="443"/>
      <c r="Q14" s="443"/>
      <c r="R14" s="443"/>
      <c r="S14" s="443"/>
      <c r="T14" s="443"/>
      <c r="U14" s="443"/>
      <c r="V14" s="443"/>
    </row>
    <row r="15" spans="2:23" s="328" customFormat="1" ht="12.75" customHeight="1">
      <c r="C15" s="328" t="s">
        <v>81</v>
      </c>
      <c r="E15" s="336">
        <v>-12</v>
      </c>
      <c r="F15" s="340">
        <v>-705</v>
      </c>
      <c r="G15" s="336">
        <v>256</v>
      </c>
      <c r="H15" s="444">
        <v>237</v>
      </c>
      <c r="I15" s="443">
        <v>-52</v>
      </c>
      <c r="J15" s="443">
        <v>-938</v>
      </c>
      <c r="K15" s="443">
        <v>594</v>
      </c>
      <c r="L15" s="443">
        <v>284</v>
      </c>
      <c r="M15" s="443">
        <v>-112</v>
      </c>
      <c r="N15" s="443">
        <v>-1121</v>
      </c>
      <c r="O15" s="443">
        <v>694</v>
      </c>
      <c r="P15" s="443">
        <v>447</v>
      </c>
      <c r="Q15" s="443">
        <v>127</v>
      </c>
      <c r="R15" s="443">
        <v>-1001</v>
      </c>
      <c r="S15" s="443">
        <v>585</v>
      </c>
      <c r="T15" s="443">
        <v>21</v>
      </c>
      <c r="U15" s="443">
        <v>90</v>
      </c>
      <c r="V15" s="443">
        <v>-827</v>
      </c>
    </row>
    <row r="16" spans="2:23" s="328" customFormat="1" ht="12.75" customHeight="1">
      <c r="C16" s="328" t="s">
        <v>195</v>
      </c>
      <c r="E16" s="336">
        <v>6</v>
      </c>
      <c r="F16" s="340">
        <v>1</v>
      </c>
      <c r="G16" s="336">
        <v>1</v>
      </c>
      <c r="H16" s="444">
        <v>0</v>
      </c>
      <c r="I16" s="443">
        <v>0</v>
      </c>
      <c r="J16" s="443">
        <v>0</v>
      </c>
      <c r="K16" s="443">
        <v>0</v>
      </c>
      <c r="L16" s="443">
        <v>0</v>
      </c>
      <c r="M16" s="443">
        <v>0</v>
      </c>
      <c r="N16" s="443">
        <v>0</v>
      </c>
      <c r="O16" s="443">
        <v>0</v>
      </c>
      <c r="P16" s="443">
        <v>0</v>
      </c>
      <c r="Q16" s="443">
        <v>0</v>
      </c>
      <c r="R16" s="443">
        <v>0</v>
      </c>
      <c r="S16" s="443">
        <v>0</v>
      </c>
      <c r="T16" s="443">
        <v>0</v>
      </c>
      <c r="U16" s="443">
        <v>0</v>
      </c>
      <c r="V16" s="443">
        <v>0</v>
      </c>
    </row>
    <row r="17" spans="2:23" s="328" customFormat="1" ht="12.75" customHeight="1" thickBot="1">
      <c r="C17" s="328" t="s">
        <v>82</v>
      </c>
      <c r="E17" s="342">
        <f t="shared" ref="E17:G17" si="3">SUM(E12:E16)-E13</f>
        <v>711</v>
      </c>
      <c r="F17" s="342">
        <f t="shared" si="3"/>
        <v>1639</v>
      </c>
      <c r="G17" s="342">
        <f t="shared" si="3"/>
        <v>981</v>
      </c>
      <c r="H17" s="447">
        <f>SUM(H12:H16)-H13</f>
        <v>1038</v>
      </c>
      <c r="I17" s="447">
        <f t="shared" ref="I17:P17" si="4">SUM(I12:I16)-I13</f>
        <v>703</v>
      </c>
      <c r="J17" s="447">
        <f t="shared" si="4"/>
        <v>1557</v>
      </c>
      <c r="K17" s="447">
        <f t="shared" si="4"/>
        <v>1308</v>
      </c>
      <c r="L17" s="447">
        <f t="shared" si="4"/>
        <v>967</v>
      </c>
      <c r="M17" s="447">
        <f t="shared" si="4"/>
        <v>745</v>
      </c>
      <c r="N17" s="447">
        <f t="shared" si="4"/>
        <v>1427</v>
      </c>
      <c r="O17" s="447">
        <f t="shared" si="4"/>
        <v>1449</v>
      </c>
      <c r="P17" s="447">
        <f t="shared" si="4"/>
        <v>1146</v>
      </c>
      <c r="Q17" s="447">
        <f t="shared" ref="Q17:R17" si="5">SUM(Q12:Q16)-Q13</f>
        <v>754</v>
      </c>
      <c r="R17" s="447">
        <f t="shared" si="5"/>
        <v>1407</v>
      </c>
      <c r="S17" s="447">
        <f t="shared" ref="S17:T17" si="6">SUM(S12:S16)-S13</f>
        <v>1172</v>
      </c>
      <c r="T17" s="447">
        <f t="shared" si="6"/>
        <v>1075</v>
      </c>
      <c r="U17" s="447">
        <f t="shared" ref="U17:V17" si="7">SUM(U12:U16)-U13</f>
        <v>841</v>
      </c>
      <c r="V17" s="447">
        <f t="shared" si="7"/>
        <v>1768</v>
      </c>
    </row>
    <row r="18" spans="2:23" s="328" customFormat="1" ht="12.75" customHeight="1">
      <c r="D18" s="404"/>
      <c r="E18" s="336"/>
      <c r="F18" s="336"/>
      <c r="G18" s="336"/>
      <c r="H18" s="444"/>
      <c r="I18" s="443"/>
      <c r="J18" s="443"/>
      <c r="K18" s="443"/>
      <c r="L18" s="443"/>
      <c r="M18" s="443"/>
      <c r="N18" s="443"/>
      <c r="O18" s="443"/>
      <c r="P18" s="443"/>
      <c r="Q18" s="443"/>
      <c r="R18" s="443"/>
      <c r="S18" s="443"/>
      <c r="T18" s="443"/>
      <c r="U18" s="443"/>
      <c r="V18" s="443"/>
    </row>
    <row r="19" spans="2:23" s="328" customFormat="1" ht="12.75" customHeight="1">
      <c r="B19" s="341" t="s">
        <v>83</v>
      </c>
      <c r="E19" s="344"/>
      <c r="F19" s="336"/>
      <c r="G19" s="344"/>
      <c r="H19" s="448"/>
      <c r="I19" s="443"/>
      <c r="J19" s="451"/>
      <c r="K19" s="443"/>
      <c r="L19" s="443"/>
      <c r="M19" s="443"/>
      <c r="N19" s="451"/>
      <c r="O19" s="443"/>
      <c r="P19" s="443"/>
      <c r="Q19" s="443"/>
      <c r="R19" s="443"/>
      <c r="S19" s="443"/>
      <c r="T19" s="443"/>
      <c r="U19" s="443"/>
      <c r="V19" s="443"/>
    </row>
    <row r="20" spans="2:23" s="328" customFormat="1" ht="12.75" customHeight="1">
      <c r="C20" s="328" t="s">
        <v>192</v>
      </c>
      <c r="E20" s="345">
        <v>-26</v>
      </c>
      <c r="F20" s="345">
        <v>368</v>
      </c>
      <c r="G20" s="345">
        <v>-27</v>
      </c>
      <c r="H20" s="449">
        <v>21</v>
      </c>
      <c r="I20" s="443">
        <v>-43</v>
      </c>
      <c r="J20" s="443">
        <v>712</v>
      </c>
      <c r="K20" s="443">
        <v>7</v>
      </c>
      <c r="L20" s="443">
        <v>-53</v>
      </c>
      <c r="M20" s="443">
        <v>-43</v>
      </c>
      <c r="N20" s="443">
        <v>599</v>
      </c>
      <c r="O20" s="443">
        <v>48</v>
      </c>
      <c r="P20" s="443">
        <v>31</v>
      </c>
      <c r="Q20" s="443">
        <v>-36</v>
      </c>
      <c r="R20" s="443">
        <v>809</v>
      </c>
      <c r="S20" s="443">
        <v>0</v>
      </c>
      <c r="T20" s="443">
        <v>-71</v>
      </c>
      <c r="U20" s="443">
        <v>-14</v>
      </c>
      <c r="V20" s="443">
        <v>1055</v>
      </c>
      <c r="W20" s="567"/>
    </row>
    <row r="21" spans="2:23" s="328" customFormat="1" ht="12.75" customHeight="1">
      <c r="C21" s="328" t="s">
        <v>193</v>
      </c>
      <c r="E21" s="336">
        <v>146</v>
      </c>
      <c r="F21" s="336">
        <v>257</v>
      </c>
      <c r="G21" s="336">
        <v>143</v>
      </c>
      <c r="H21" s="444">
        <v>134</v>
      </c>
      <c r="I21" s="443">
        <v>116</v>
      </c>
      <c r="J21" s="443">
        <v>162</v>
      </c>
      <c r="K21" s="443">
        <v>158</v>
      </c>
      <c r="L21" s="443">
        <v>155</v>
      </c>
      <c r="M21" s="443">
        <v>246</v>
      </c>
      <c r="N21" s="443">
        <v>291</v>
      </c>
      <c r="O21" s="443">
        <v>170</v>
      </c>
      <c r="P21" s="443">
        <v>135</v>
      </c>
      <c r="Q21" s="443">
        <v>120</v>
      </c>
      <c r="R21" s="443">
        <v>71</v>
      </c>
      <c r="S21" s="443">
        <v>89</v>
      </c>
      <c r="T21" s="443">
        <v>371</v>
      </c>
      <c r="U21" s="443">
        <v>168</v>
      </c>
      <c r="V21" s="443">
        <v>88</v>
      </c>
      <c r="W21" s="567"/>
    </row>
    <row r="22" spans="2:23" s="328" customFormat="1" ht="12.75" customHeight="1">
      <c r="C22" s="328" t="s">
        <v>194</v>
      </c>
      <c r="E22" s="338">
        <v>2</v>
      </c>
      <c r="F22" s="338">
        <v>19</v>
      </c>
      <c r="G22" s="338">
        <v>3</v>
      </c>
      <c r="H22" s="445">
        <v>1</v>
      </c>
      <c r="I22" s="446">
        <v>2</v>
      </c>
      <c r="J22" s="446">
        <v>10</v>
      </c>
      <c r="K22" s="446">
        <v>0</v>
      </c>
      <c r="L22" s="446">
        <v>-1</v>
      </c>
      <c r="M22" s="446">
        <v>1</v>
      </c>
      <c r="N22" s="446">
        <v>11</v>
      </c>
      <c r="O22" s="446">
        <v>0</v>
      </c>
      <c r="P22" s="446">
        <v>-1</v>
      </c>
      <c r="Q22" s="446">
        <v>1</v>
      </c>
      <c r="R22" s="446">
        <v>10</v>
      </c>
      <c r="S22" s="446">
        <v>1</v>
      </c>
      <c r="T22" s="446">
        <v>0</v>
      </c>
      <c r="U22" s="446">
        <v>0</v>
      </c>
      <c r="V22" s="446">
        <v>11</v>
      </c>
      <c r="W22" s="567"/>
    </row>
    <row r="23" spans="2:23" s="328" customFormat="1" ht="12.75" customHeight="1">
      <c r="C23" s="328" t="s">
        <v>79</v>
      </c>
      <c r="E23" s="337">
        <f t="shared" ref="E23:N23" si="8">SUM(E20:E22)</f>
        <v>122</v>
      </c>
      <c r="F23" s="337">
        <f t="shared" si="8"/>
        <v>644</v>
      </c>
      <c r="G23" s="337">
        <f t="shared" si="8"/>
        <v>119</v>
      </c>
      <c r="H23" s="443">
        <f t="shared" si="8"/>
        <v>156</v>
      </c>
      <c r="I23" s="443">
        <f t="shared" si="8"/>
        <v>75</v>
      </c>
      <c r="J23" s="443">
        <f t="shared" si="8"/>
        <v>884</v>
      </c>
      <c r="K23" s="443">
        <f t="shared" si="8"/>
        <v>165</v>
      </c>
      <c r="L23" s="443">
        <f t="shared" si="8"/>
        <v>101</v>
      </c>
      <c r="M23" s="443">
        <f t="shared" si="8"/>
        <v>204</v>
      </c>
      <c r="N23" s="443">
        <f t="shared" si="8"/>
        <v>901</v>
      </c>
      <c r="O23" s="443">
        <f t="shared" ref="O23:T23" si="9">SUM(O20:O22)</f>
        <v>218</v>
      </c>
      <c r="P23" s="443">
        <f t="shared" si="9"/>
        <v>165</v>
      </c>
      <c r="Q23" s="443">
        <f t="shared" si="9"/>
        <v>85</v>
      </c>
      <c r="R23" s="443">
        <f t="shared" si="9"/>
        <v>890</v>
      </c>
      <c r="S23" s="443">
        <f t="shared" si="9"/>
        <v>90</v>
      </c>
      <c r="T23" s="443">
        <f t="shared" si="9"/>
        <v>300</v>
      </c>
      <c r="U23" s="443">
        <f t="shared" ref="U23:V23" si="10">SUM(U20:U22)</f>
        <v>154</v>
      </c>
      <c r="V23" s="443">
        <f t="shared" si="10"/>
        <v>1154</v>
      </c>
    </row>
    <row r="24" spans="2:23" s="328" customFormat="1" ht="12.75" customHeight="1">
      <c r="D24" s="404"/>
      <c r="E24" s="336"/>
      <c r="F24" s="340"/>
      <c r="G24" s="336"/>
      <c r="H24" s="443"/>
      <c r="I24" s="451"/>
      <c r="J24" s="451"/>
      <c r="K24" s="451"/>
      <c r="L24" s="443"/>
      <c r="M24" s="451"/>
      <c r="N24" s="451"/>
      <c r="O24" s="451"/>
      <c r="P24" s="443"/>
      <c r="Q24" s="451"/>
      <c r="R24" s="451"/>
      <c r="S24" s="451"/>
      <c r="T24" s="451"/>
      <c r="U24" s="451"/>
      <c r="V24" s="451"/>
    </row>
    <row r="25" spans="2:23" s="328" customFormat="1" ht="12.75" customHeight="1">
      <c r="B25" s="341" t="s">
        <v>252</v>
      </c>
      <c r="E25" s="336"/>
      <c r="F25" s="340"/>
      <c r="G25" s="336"/>
      <c r="H25" s="444"/>
      <c r="I25" s="443"/>
      <c r="J25" s="443"/>
      <c r="K25" s="443"/>
      <c r="L25" s="443"/>
      <c r="M25" s="443"/>
      <c r="N25" s="443"/>
      <c r="O25" s="443"/>
      <c r="P25" s="443"/>
      <c r="Q25" s="443"/>
      <c r="R25" s="443"/>
      <c r="S25" s="443"/>
      <c r="T25" s="443"/>
      <c r="U25" s="443"/>
      <c r="V25" s="443"/>
    </row>
    <row r="26" spans="2:23" s="328" customFormat="1" ht="12.75" customHeight="1">
      <c r="B26" s="341"/>
      <c r="C26" s="328" t="s">
        <v>84</v>
      </c>
      <c r="E26" s="336">
        <v>-12</v>
      </c>
      <c r="F26" s="340">
        <v>-490</v>
      </c>
      <c r="G26" s="336">
        <v>167</v>
      </c>
      <c r="H26" s="444">
        <v>164</v>
      </c>
      <c r="I26" s="443">
        <v>9</v>
      </c>
      <c r="J26" s="443">
        <v>-724</v>
      </c>
      <c r="K26" s="443">
        <v>410</v>
      </c>
      <c r="L26" s="443">
        <v>227</v>
      </c>
      <c r="M26" s="443">
        <v>-97</v>
      </c>
      <c r="N26" s="443">
        <v>-859</v>
      </c>
      <c r="O26" s="443">
        <v>506</v>
      </c>
      <c r="P26" s="443">
        <v>332</v>
      </c>
      <c r="Q26" s="443">
        <v>105</v>
      </c>
      <c r="R26" s="443">
        <v>-758</v>
      </c>
      <c r="S26" s="443">
        <v>447</v>
      </c>
      <c r="T26" s="443">
        <v>-40</v>
      </c>
      <c r="U26" s="443">
        <v>110</v>
      </c>
      <c r="V26" s="443">
        <v>-607</v>
      </c>
    </row>
    <row r="27" spans="2:23" s="328" customFormat="1" ht="12.75" customHeight="1">
      <c r="B27" s="341"/>
      <c r="C27" s="328" t="s">
        <v>85</v>
      </c>
      <c r="E27" s="336">
        <v>-26</v>
      </c>
      <c r="F27" s="340">
        <v>-43</v>
      </c>
      <c r="G27" s="336">
        <v>-28</v>
      </c>
      <c r="H27" s="444">
        <v>-43</v>
      </c>
      <c r="I27" s="443">
        <v>-36</v>
      </c>
      <c r="J27" s="443">
        <v>-47</v>
      </c>
      <c r="K27" s="443">
        <v>-44</v>
      </c>
      <c r="L27" s="443">
        <v>-17</v>
      </c>
      <c r="M27" s="443">
        <v>-34</v>
      </c>
      <c r="N27" s="443">
        <v>-37</v>
      </c>
      <c r="O27" s="443">
        <v>-23</v>
      </c>
      <c r="P27" s="443">
        <v>-20</v>
      </c>
      <c r="Q27" s="443">
        <v>-18</v>
      </c>
      <c r="R27" s="443">
        <v>-43</v>
      </c>
      <c r="S27" s="443">
        <v>-21</v>
      </c>
      <c r="T27" s="443">
        <v>-31</v>
      </c>
      <c r="U27" s="443">
        <v>-34</v>
      </c>
      <c r="V27" s="443">
        <v>-40</v>
      </c>
    </row>
    <row r="28" spans="2:23" s="328" customFormat="1" ht="12.75" customHeight="1">
      <c r="B28" s="341"/>
      <c r="C28" s="328" t="s">
        <v>86</v>
      </c>
      <c r="E28" s="336">
        <v>-61</v>
      </c>
      <c r="F28" s="340">
        <v>-32</v>
      </c>
      <c r="G28" s="336">
        <v>-15</v>
      </c>
      <c r="H28" s="444">
        <v>-15</v>
      </c>
      <c r="I28" s="443">
        <v>1</v>
      </c>
      <c r="J28" s="443">
        <v>6</v>
      </c>
      <c r="K28" s="443">
        <v>-3</v>
      </c>
      <c r="L28" s="443">
        <v>-1</v>
      </c>
      <c r="M28" s="443">
        <v>0</v>
      </c>
      <c r="N28" s="443">
        <v>1</v>
      </c>
      <c r="O28" s="443">
        <v>-19</v>
      </c>
      <c r="P28" s="443">
        <v>-3</v>
      </c>
      <c r="Q28" s="443">
        <v>-3</v>
      </c>
      <c r="R28" s="443">
        <v>-2</v>
      </c>
      <c r="S28" s="443">
        <v>0</v>
      </c>
      <c r="T28" s="443">
        <v>0</v>
      </c>
      <c r="U28" s="443">
        <v>0</v>
      </c>
      <c r="V28" s="443">
        <v>0</v>
      </c>
    </row>
    <row r="29" spans="2:23" s="328" customFormat="1" ht="12.75" customHeight="1">
      <c r="B29" s="341"/>
      <c r="C29" s="328" t="s">
        <v>87</v>
      </c>
      <c r="E29" s="336">
        <v>-90</v>
      </c>
      <c r="F29" s="340">
        <v>-201</v>
      </c>
      <c r="G29" s="336">
        <v>-46</v>
      </c>
      <c r="H29" s="444">
        <v>-38</v>
      </c>
      <c r="I29" s="443">
        <v>-33</v>
      </c>
      <c r="J29" s="443">
        <v>-142</v>
      </c>
      <c r="K29" s="443">
        <v>-17</v>
      </c>
      <c r="L29" s="443">
        <v>-10</v>
      </c>
      <c r="M29" s="443">
        <v>-18</v>
      </c>
      <c r="N29" s="443">
        <v>-77</v>
      </c>
      <c r="O29" s="443">
        <v>-8</v>
      </c>
      <c r="P29" s="443">
        <v>-7</v>
      </c>
      <c r="Q29" s="443">
        <v>-7</v>
      </c>
      <c r="R29" s="443">
        <v>-50</v>
      </c>
      <c r="S29" s="443">
        <v>-3</v>
      </c>
      <c r="T29" s="443">
        <v>-2</v>
      </c>
      <c r="U29" s="443">
        <v>-3</v>
      </c>
      <c r="V29" s="443">
        <v>-23</v>
      </c>
    </row>
    <row r="30" spans="2:23" s="328" customFormat="1" ht="12.75" customHeight="1">
      <c r="B30" s="341"/>
      <c r="C30" s="328" t="s">
        <v>88</v>
      </c>
      <c r="E30" s="336">
        <v>-17</v>
      </c>
      <c r="F30" s="340">
        <v>-11</v>
      </c>
      <c r="G30" s="336">
        <v>-14</v>
      </c>
      <c r="H30" s="444">
        <v>-3</v>
      </c>
      <c r="I30" s="443">
        <v>-7</v>
      </c>
      <c r="J30" s="443">
        <v>0</v>
      </c>
      <c r="K30" s="443">
        <v>0</v>
      </c>
      <c r="L30" s="443">
        <v>0</v>
      </c>
      <c r="M30" s="443">
        <v>0</v>
      </c>
      <c r="N30" s="443">
        <v>0</v>
      </c>
      <c r="O30" s="443">
        <v>0</v>
      </c>
      <c r="P30" s="443">
        <v>0</v>
      </c>
      <c r="Q30" s="443">
        <v>0</v>
      </c>
      <c r="R30" s="443">
        <v>0</v>
      </c>
      <c r="S30" s="443">
        <v>0</v>
      </c>
      <c r="T30" s="443">
        <v>0</v>
      </c>
      <c r="U30" s="443">
        <v>0</v>
      </c>
      <c r="V30" s="443">
        <v>0</v>
      </c>
    </row>
    <row r="31" spans="2:23" s="328" customFormat="1" ht="12.75" customHeight="1">
      <c r="B31" s="341"/>
      <c r="C31" s="328" t="s">
        <v>246</v>
      </c>
      <c r="E31" s="336">
        <v>0</v>
      </c>
      <c r="F31" s="340">
        <v>0</v>
      </c>
      <c r="G31" s="336">
        <v>0</v>
      </c>
      <c r="H31" s="444">
        <v>0</v>
      </c>
      <c r="I31" s="443">
        <v>0</v>
      </c>
      <c r="J31" s="443">
        <v>-409</v>
      </c>
      <c r="K31" s="443">
        <v>0</v>
      </c>
      <c r="L31" s="443">
        <v>0</v>
      </c>
      <c r="M31" s="443">
        <v>0</v>
      </c>
      <c r="N31" s="443">
        <v>-326</v>
      </c>
      <c r="O31" s="443">
        <v>0</v>
      </c>
      <c r="P31" s="443">
        <v>0</v>
      </c>
      <c r="Q31" s="443">
        <v>0</v>
      </c>
      <c r="R31" s="443">
        <v>-12</v>
      </c>
      <c r="S31" s="443">
        <v>0</v>
      </c>
      <c r="T31" s="443">
        <v>0</v>
      </c>
      <c r="U31" s="443">
        <v>0</v>
      </c>
      <c r="V31" s="443">
        <v>0</v>
      </c>
    </row>
    <row r="32" spans="2:23" s="328" customFormat="1" ht="12.75" customHeight="1">
      <c r="B32" s="341"/>
      <c r="C32" s="328" t="s">
        <v>195</v>
      </c>
      <c r="E32" s="336">
        <v>-110</v>
      </c>
      <c r="F32" s="346">
        <v>-15</v>
      </c>
      <c r="G32" s="336">
        <v>-4</v>
      </c>
      <c r="H32" s="445">
        <v>-3</v>
      </c>
      <c r="I32" s="446">
        <v>0</v>
      </c>
      <c r="J32" s="446">
        <v>0</v>
      </c>
      <c r="K32" s="446">
        <v>0</v>
      </c>
      <c r="L32" s="446">
        <v>0</v>
      </c>
      <c r="M32" s="446">
        <v>0</v>
      </c>
      <c r="N32" s="446">
        <v>0</v>
      </c>
      <c r="O32" s="446">
        <v>0</v>
      </c>
      <c r="P32" s="446">
        <v>0</v>
      </c>
      <c r="Q32" s="446">
        <v>0</v>
      </c>
      <c r="R32" s="446">
        <v>0</v>
      </c>
      <c r="S32" s="446">
        <v>0</v>
      </c>
      <c r="T32" s="446">
        <v>0</v>
      </c>
      <c r="U32" s="446">
        <v>0</v>
      </c>
      <c r="V32" s="446">
        <v>0</v>
      </c>
    </row>
    <row r="33" spans="2:22" s="328" customFormat="1" ht="12.75" customHeight="1" thickBot="1">
      <c r="C33" s="328" t="s">
        <v>262</v>
      </c>
      <c r="E33" s="342">
        <f t="shared" ref="E33:G33" si="11">SUM(E23:E32)-E24</f>
        <v>-194</v>
      </c>
      <c r="F33" s="342">
        <f t="shared" si="11"/>
        <v>-148</v>
      </c>
      <c r="G33" s="342">
        <f t="shared" si="11"/>
        <v>179</v>
      </c>
      <c r="H33" s="447">
        <f>SUM(H23:H32)-H24</f>
        <v>218</v>
      </c>
      <c r="I33" s="447">
        <f t="shared" ref="I33:P33" si="12">SUM(I23:I32)-I24</f>
        <v>9</v>
      </c>
      <c r="J33" s="447">
        <f t="shared" si="12"/>
        <v>-432</v>
      </c>
      <c r="K33" s="447">
        <f t="shared" si="12"/>
        <v>511</v>
      </c>
      <c r="L33" s="447">
        <f t="shared" si="12"/>
        <v>300</v>
      </c>
      <c r="M33" s="447">
        <f t="shared" si="12"/>
        <v>55</v>
      </c>
      <c r="N33" s="447">
        <f t="shared" si="12"/>
        <v>-397</v>
      </c>
      <c r="O33" s="447">
        <f t="shared" si="12"/>
        <v>674</v>
      </c>
      <c r="P33" s="447">
        <f t="shared" si="12"/>
        <v>467</v>
      </c>
      <c r="Q33" s="447">
        <f t="shared" ref="Q33:R33" si="13">SUM(Q23:Q32)-Q24</f>
        <v>162</v>
      </c>
      <c r="R33" s="447">
        <f t="shared" si="13"/>
        <v>25</v>
      </c>
      <c r="S33" s="447">
        <f t="shared" ref="S33:T33" si="14">SUM(S23:S32)-S24</f>
        <v>513</v>
      </c>
      <c r="T33" s="447">
        <f t="shared" si="14"/>
        <v>227</v>
      </c>
      <c r="U33" s="447">
        <f t="shared" ref="U33:V33" si="15">SUM(U23:U32)-U24</f>
        <v>227</v>
      </c>
      <c r="V33" s="447">
        <f t="shared" si="15"/>
        <v>484</v>
      </c>
    </row>
    <row r="34" spans="2:22" s="328" customFormat="1" ht="12.75" customHeight="1">
      <c r="D34" s="404"/>
      <c r="E34" s="347"/>
      <c r="F34" s="348"/>
      <c r="G34" s="347"/>
      <c r="H34" s="450"/>
      <c r="I34" s="436"/>
      <c r="J34" s="436"/>
      <c r="K34" s="436"/>
      <c r="L34" s="450"/>
      <c r="M34" s="436"/>
      <c r="N34" s="436"/>
      <c r="O34" s="436"/>
      <c r="P34" s="455"/>
      <c r="Q34" s="455"/>
      <c r="R34" s="455"/>
      <c r="S34" s="455"/>
      <c r="T34" s="455"/>
      <c r="U34" s="455"/>
      <c r="V34" s="455"/>
    </row>
    <row r="35" spans="2:22" s="328" customFormat="1" ht="12.75" customHeight="1">
      <c r="D35" s="404" t="s">
        <v>89</v>
      </c>
      <c r="E35" s="528">
        <f t="shared" ref="E35:Q35" si="16">E23/E12</f>
        <v>0.1701534170153417</v>
      </c>
      <c r="F35" s="528">
        <f t="shared" si="16"/>
        <v>0.27486128894579598</v>
      </c>
      <c r="G35" s="528">
        <f t="shared" si="16"/>
        <v>0.1643646408839779</v>
      </c>
      <c r="H35" s="527">
        <f t="shared" si="16"/>
        <v>0.19475655430711611</v>
      </c>
      <c r="I35" s="527">
        <f t="shared" si="16"/>
        <v>9.9337748344370855E-2</v>
      </c>
      <c r="J35" s="527">
        <f t="shared" si="16"/>
        <v>0.35430861723446894</v>
      </c>
      <c r="K35" s="527">
        <f t="shared" si="16"/>
        <v>0.23109243697478993</v>
      </c>
      <c r="L35" s="527">
        <f t="shared" si="16"/>
        <v>0.14787701317715959</v>
      </c>
      <c r="M35" s="527">
        <f t="shared" si="16"/>
        <v>0.23803967327887982</v>
      </c>
      <c r="N35" s="527">
        <f t="shared" si="16"/>
        <v>0.35361067503924648</v>
      </c>
      <c r="O35" s="527">
        <f t="shared" si="16"/>
        <v>0.28874172185430463</v>
      </c>
      <c r="P35" s="527">
        <f t="shared" si="16"/>
        <v>0.23605150214592274</v>
      </c>
      <c r="Q35" s="527">
        <f t="shared" si="16"/>
        <v>0.13556618819776714</v>
      </c>
      <c r="R35" s="527">
        <f>R23/R12</f>
        <v>0.36960132890365449</v>
      </c>
      <c r="S35" s="527">
        <f>S23/S12</f>
        <v>0.15332197614991483</v>
      </c>
      <c r="T35" s="527">
        <f>T23/T12</f>
        <v>0.28462998102466791</v>
      </c>
      <c r="U35" s="527">
        <f>U23/U12</f>
        <v>0.20505992010652463</v>
      </c>
      <c r="V35" s="527">
        <f>V23/V12</f>
        <v>0.44470134874759154</v>
      </c>
    </row>
    <row r="36" spans="2:22" s="328" customFormat="1" ht="12.75" customHeight="1"/>
    <row r="37" spans="2:22" s="328" customFormat="1" ht="12.75" customHeight="1">
      <c r="D37" s="404"/>
      <c r="E37" s="349"/>
      <c r="F37" s="349"/>
      <c r="G37" s="349"/>
      <c r="H37" s="451"/>
      <c r="I37" s="436"/>
      <c r="J37" s="436"/>
      <c r="K37" s="436"/>
      <c r="L37" s="451"/>
      <c r="M37" s="436"/>
      <c r="N37" s="436"/>
      <c r="O37" s="453"/>
      <c r="P37" s="452"/>
      <c r="Q37" s="452"/>
      <c r="R37" s="452"/>
      <c r="S37" s="452"/>
      <c r="T37" s="452"/>
      <c r="U37" s="452"/>
      <c r="V37" s="452"/>
    </row>
    <row r="38" spans="2:22" s="328" customFormat="1">
      <c r="B38" s="327"/>
      <c r="C38" s="327"/>
    </row>
    <row r="39" spans="2:22" ht="12.75" customHeight="1">
      <c r="B39" s="343"/>
      <c r="C39" s="328"/>
      <c r="D39" s="588" t="s">
        <v>278</v>
      </c>
      <c r="E39" s="588"/>
      <c r="F39" s="588"/>
      <c r="G39" s="588"/>
      <c r="H39" s="588"/>
      <c r="I39" s="588"/>
      <c r="J39" s="588"/>
      <c r="K39" s="588"/>
      <c r="L39" s="588"/>
      <c r="M39" s="588"/>
      <c r="N39" s="588"/>
      <c r="O39" s="588"/>
    </row>
    <row r="40" spans="2:22" ht="12.75" customHeight="1">
      <c r="B40" s="343"/>
      <c r="C40" s="328"/>
      <c r="D40" s="588" t="s">
        <v>234</v>
      </c>
      <c r="E40" s="588"/>
      <c r="F40" s="588"/>
      <c r="G40" s="588"/>
      <c r="H40" s="588"/>
      <c r="I40" s="588"/>
      <c r="J40" s="588"/>
      <c r="K40" s="588"/>
      <c r="L40" s="588"/>
      <c r="M40" s="588"/>
      <c r="N40" s="588"/>
      <c r="O40" s="588"/>
    </row>
    <row r="41" spans="2:22" ht="12.75" customHeight="1">
      <c r="B41" s="343"/>
      <c r="C41" s="328"/>
      <c r="D41" s="588" t="s">
        <v>235</v>
      </c>
      <c r="E41" s="588"/>
      <c r="F41" s="588"/>
      <c r="G41" s="588"/>
      <c r="H41" s="588"/>
      <c r="I41" s="588"/>
      <c r="J41" s="588"/>
      <c r="K41" s="588"/>
      <c r="L41" s="588"/>
      <c r="M41" s="588"/>
      <c r="N41" s="588"/>
      <c r="O41" s="588"/>
    </row>
    <row r="42" spans="2:22" ht="36" customHeight="1">
      <c r="B42" s="343"/>
      <c r="C42" s="328"/>
      <c r="D42" s="588" t="s">
        <v>236</v>
      </c>
      <c r="E42" s="588"/>
      <c r="F42" s="588"/>
      <c r="G42" s="588"/>
      <c r="H42" s="588"/>
      <c r="I42" s="588"/>
      <c r="J42" s="588"/>
      <c r="K42" s="588"/>
      <c r="L42" s="588"/>
      <c r="M42" s="588"/>
      <c r="N42" s="588"/>
      <c r="O42" s="588"/>
    </row>
    <row r="43" spans="2:22" ht="12.75" customHeight="1">
      <c r="B43" s="343"/>
      <c r="C43" s="328"/>
      <c r="D43" s="328"/>
      <c r="E43" s="351"/>
      <c r="F43" s="352"/>
      <c r="G43" s="351"/>
      <c r="H43" s="454"/>
    </row>
    <row r="44" spans="2:22" ht="12.75" customHeight="1" outlineLevel="1">
      <c r="B44" s="343"/>
      <c r="C44" s="328"/>
      <c r="D44" s="588" t="s">
        <v>297</v>
      </c>
      <c r="E44" s="588"/>
      <c r="F44" s="588"/>
      <c r="G44" s="588"/>
      <c r="H44" s="588"/>
      <c r="I44" s="588"/>
      <c r="J44" s="588"/>
      <c r="K44" s="588"/>
      <c r="L44" s="588"/>
      <c r="M44" s="588"/>
      <c r="N44" s="588"/>
      <c r="O44" s="588"/>
    </row>
    <row r="45" spans="2:22" ht="12.75" customHeight="1" outlineLevel="1">
      <c r="B45" s="343"/>
      <c r="C45" s="328"/>
      <c r="D45" s="328"/>
      <c r="E45" s="351"/>
      <c r="F45" s="352"/>
      <c r="G45" s="351"/>
      <c r="H45" s="454"/>
    </row>
  </sheetData>
  <mergeCells count="8">
    <mergeCell ref="B1:W1"/>
    <mergeCell ref="B2:W2"/>
    <mergeCell ref="B3:W3"/>
    <mergeCell ref="D44:O44"/>
    <mergeCell ref="D41:O41"/>
    <mergeCell ref="D42:O42"/>
    <mergeCell ref="D39:O39"/>
    <mergeCell ref="D40:O40"/>
  </mergeCells>
  <pageMargins left="0.7" right="0.7" top="0.25" bottom="0.44" header="0.3" footer="0.3"/>
  <pageSetup scale="54" orientation="landscape" r:id="rId1"/>
  <headerFooter>
    <oddFooter>&amp;LActivision Blizzard, Inc.&amp;R&amp;P of &amp; 17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51"/>
  <sheetViews>
    <sheetView view="pageBreakPreview" zoomScale="85" zoomScaleNormal="100" zoomScaleSheetLayoutView="85" workbookViewId="0">
      <pane xSplit="4" ySplit="7" topLeftCell="E8" activePane="bottomRight" state="frozen"/>
      <selection activeCell="A19" sqref="A19:R19"/>
      <selection pane="topRight" activeCell="A19" sqref="A19:R19"/>
      <selection pane="bottomLeft" activeCell="A19" sqref="A19:R19"/>
      <selection pane="bottomRight" activeCell="L4" sqref="L4"/>
    </sheetView>
  </sheetViews>
  <sheetFormatPr defaultColWidth="11.42578125" defaultRowHeight="12" outlineLevelRow="1" outlineLevelCol="1"/>
  <cols>
    <col min="1" max="1" width="2.85546875" style="327" customWidth="1"/>
    <col min="2" max="2" width="2" style="327" customWidth="1"/>
    <col min="3" max="3" width="2.85546875" style="327" customWidth="1"/>
    <col min="4" max="4" width="37.42578125" style="327" customWidth="1"/>
    <col min="5" max="5" width="8.5703125" style="349" customWidth="1" outlineLevel="1"/>
    <col min="6" max="6" width="8.5703125" style="350" customWidth="1" outlineLevel="1"/>
    <col min="7" max="10" width="8.5703125" style="327" customWidth="1" outlineLevel="1"/>
    <col min="11" max="22" width="8.5703125" style="327" customWidth="1"/>
    <col min="23" max="23" width="1.42578125" style="327" customWidth="1"/>
    <col min="24" max="16384" width="11.42578125" style="327"/>
  </cols>
  <sheetData>
    <row r="1" spans="2:23" ht="18.75" customHeight="1">
      <c r="B1" s="587" t="s">
        <v>76</v>
      </c>
      <c r="C1" s="587"/>
      <c r="D1" s="587"/>
      <c r="E1" s="587"/>
      <c r="F1" s="587"/>
      <c r="G1" s="587"/>
      <c r="H1" s="587"/>
      <c r="I1" s="587"/>
      <c r="J1" s="587"/>
      <c r="K1" s="587"/>
      <c r="L1" s="587"/>
      <c r="M1" s="587"/>
      <c r="N1" s="587"/>
      <c r="O1" s="587"/>
      <c r="P1" s="587"/>
      <c r="Q1" s="587"/>
      <c r="R1" s="587"/>
      <c r="S1" s="587"/>
      <c r="T1" s="587"/>
      <c r="U1" s="587"/>
      <c r="V1" s="587"/>
      <c r="W1" s="587"/>
    </row>
    <row r="2" spans="2:23" ht="12.75" customHeight="1">
      <c r="B2" s="587" t="s">
        <v>294</v>
      </c>
      <c r="C2" s="587"/>
      <c r="D2" s="587"/>
      <c r="E2" s="587"/>
      <c r="F2" s="587"/>
      <c r="G2" s="587"/>
      <c r="H2" s="587"/>
      <c r="I2" s="587"/>
      <c r="J2" s="587"/>
      <c r="K2" s="587"/>
      <c r="L2" s="587"/>
      <c r="M2" s="587"/>
      <c r="N2" s="587"/>
      <c r="O2" s="587"/>
      <c r="P2" s="587"/>
      <c r="Q2" s="587"/>
      <c r="R2" s="587"/>
      <c r="S2" s="587"/>
      <c r="T2" s="587"/>
      <c r="U2" s="587"/>
      <c r="V2" s="587"/>
      <c r="W2" s="587"/>
    </row>
    <row r="3" spans="2:23" ht="12.75" customHeight="1">
      <c r="B3" s="587" t="s">
        <v>77</v>
      </c>
      <c r="C3" s="587"/>
      <c r="D3" s="587"/>
      <c r="E3" s="587"/>
      <c r="F3" s="587"/>
      <c r="G3" s="587"/>
      <c r="H3" s="587"/>
      <c r="I3" s="587"/>
      <c r="J3" s="587"/>
      <c r="K3" s="587"/>
      <c r="L3" s="587"/>
      <c r="M3" s="587"/>
      <c r="N3" s="587"/>
      <c r="O3" s="587"/>
      <c r="P3" s="587"/>
      <c r="Q3" s="587"/>
      <c r="R3" s="587"/>
      <c r="S3" s="587"/>
      <c r="T3" s="587"/>
      <c r="U3" s="587"/>
      <c r="V3" s="587"/>
      <c r="W3" s="587"/>
    </row>
    <row r="4" spans="2:23" ht="12.75" customHeight="1">
      <c r="E4" s="330"/>
      <c r="F4" s="331"/>
    </row>
    <row r="5" spans="2:23" ht="12.75" customHeight="1">
      <c r="B5" s="328"/>
      <c r="C5" s="328"/>
      <c r="D5" s="328"/>
      <c r="E5" s="354"/>
      <c r="F5" s="354"/>
    </row>
    <row r="6" spans="2:23" s="328" customFormat="1" ht="12.75" customHeight="1">
      <c r="E6" s="19" t="s">
        <v>228</v>
      </c>
      <c r="F6" s="329" t="s">
        <v>6</v>
      </c>
      <c r="G6" s="329" t="s">
        <v>3</v>
      </c>
      <c r="H6" s="329" t="s">
        <v>4</v>
      </c>
      <c r="I6" s="332" t="s">
        <v>5</v>
      </c>
      <c r="J6" s="332" t="s">
        <v>6</v>
      </c>
      <c r="K6" s="332" t="s">
        <v>3</v>
      </c>
      <c r="L6" s="332" t="s">
        <v>4</v>
      </c>
      <c r="M6" s="332" t="s">
        <v>5</v>
      </c>
      <c r="N6" s="332" t="s">
        <v>6</v>
      </c>
      <c r="O6" s="332" t="s">
        <v>3</v>
      </c>
      <c r="P6" s="332" t="s">
        <v>4</v>
      </c>
      <c r="Q6" s="332" t="s">
        <v>5</v>
      </c>
      <c r="R6" s="332" t="s">
        <v>6</v>
      </c>
      <c r="S6" s="332" t="s">
        <v>3</v>
      </c>
      <c r="T6" s="332" t="s">
        <v>4</v>
      </c>
      <c r="U6" s="332" t="s">
        <v>5</v>
      </c>
      <c r="V6" s="332" t="s">
        <v>6</v>
      </c>
    </row>
    <row r="7" spans="2:23" s="328" customFormat="1" ht="12.75" customHeight="1" thickBot="1">
      <c r="E7" s="333" t="s">
        <v>43</v>
      </c>
      <c r="F7" s="334" t="s">
        <v>43</v>
      </c>
      <c r="G7" s="334" t="s">
        <v>44</v>
      </c>
      <c r="H7" s="334" t="s">
        <v>44</v>
      </c>
      <c r="I7" s="332" t="s">
        <v>44</v>
      </c>
      <c r="J7" s="332" t="s">
        <v>44</v>
      </c>
      <c r="K7" s="332" t="s">
        <v>45</v>
      </c>
      <c r="L7" s="332" t="s">
        <v>45</v>
      </c>
      <c r="M7" s="332" t="s">
        <v>45</v>
      </c>
      <c r="N7" s="332" t="s">
        <v>45</v>
      </c>
      <c r="O7" s="332" t="s">
        <v>46</v>
      </c>
      <c r="P7" s="332" t="s">
        <v>46</v>
      </c>
      <c r="Q7" s="332" t="s">
        <v>46</v>
      </c>
      <c r="R7" s="332" t="s">
        <v>46</v>
      </c>
      <c r="S7" s="332" t="s">
        <v>266</v>
      </c>
      <c r="T7" s="332" t="s">
        <v>266</v>
      </c>
      <c r="U7" s="332" t="s">
        <v>266</v>
      </c>
      <c r="V7" s="332" t="s">
        <v>266</v>
      </c>
    </row>
    <row r="8" spans="2:23" ht="12.75" customHeight="1">
      <c r="B8" s="341" t="s">
        <v>90</v>
      </c>
      <c r="C8" s="353"/>
      <c r="D8" s="353"/>
      <c r="E8" s="335"/>
      <c r="F8" s="335"/>
      <c r="G8" s="335"/>
      <c r="H8" s="335"/>
      <c r="I8" s="335"/>
      <c r="J8" s="335"/>
      <c r="K8" s="335"/>
      <c r="L8" s="335"/>
      <c r="M8" s="335"/>
      <c r="N8" s="335"/>
      <c r="O8" s="335"/>
      <c r="P8" s="335"/>
      <c r="Q8" s="335"/>
      <c r="R8" s="335"/>
      <c r="S8" s="335"/>
      <c r="T8" s="335"/>
      <c r="U8" s="335"/>
      <c r="V8" s="335"/>
    </row>
    <row r="9" spans="2:23" ht="12.75" customHeight="1">
      <c r="B9" s="328"/>
      <c r="C9" s="328" t="s">
        <v>91</v>
      </c>
      <c r="D9" s="328"/>
      <c r="E9" s="355">
        <v>295</v>
      </c>
      <c r="F9" s="336">
        <v>903</v>
      </c>
      <c r="G9" s="69">
        <v>524</v>
      </c>
      <c r="H9" s="69">
        <v>557</v>
      </c>
      <c r="I9" s="69">
        <v>378</v>
      </c>
      <c r="J9" s="69">
        <v>759</v>
      </c>
      <c r="K9" s="69">
        <v>703</v>
      </c>
      <c r="L9" s="69">
        <v>567</v>
      </c>
      <c r="M9" s="69">
        <v>406</v>
      </c>
      <c r="N9" s="69">
        <v>734</v>
      </c>
      <c r="O9" s="69">
        <v>748</v>
      </c>
      <c r="P9" s="69">
        <v>580</v>
      </c>
      <c r="Q9" s="69">
        <v>360</v>
      </c>
      <c r="R9" s="69">
        <v>718</v>
      </c>
      <c r="S9" s="69">
        <v>601</v>
      </c>
      <c r="T9" s="69">
        <v>562</v>
      </c>
      <c r="U9" s="69">
        <v>403</v>
      </c>
      <c r="V9" s="69">
        <v>869</v>
      </c>
    </row>
    <row r="10" spans="2:23" ht="12.75" customHeight="1">
      <c r="B10" s="328"/>
      <c r="C10" s="328" t="s">
        <v>92</v>
      </c>
      <c r="D10" s="328"/>
      <c r="E10" s="355">
        <v>348</v>
      </c>
      <c r="F10" s="336">
        <v>660</v>
      </c>
      <c r="G10" s="69">
        <v>392</v>
      </c>
      <c r="H10" s="69">
        <v>408</v>
      </c>
      <c r="I10" s="69">
        <v>287</v>
      </c>
      <c r="J10" s="69">
        <v>710</v>
      </c>
      <c r="K10" s="69">
        <v>524</v>
      </c>
      <c r="L10" s="69">
        <v>337</v>
      </c>
      <c r="M10" s="69">
        <v>281</v>
      </c>
      <c r="N10" s="69">
        <v>600</v>
      </c>
      <c r="O10" s="69">
        <v>594</v>
      </c>
      <c r="P10" s="69">
        <v>467</v>
      </c>
      <c r="Q10" s="69">
        <v>323</v>
      </c>
      <c r="R10" s="69">
        <v>605</v>
      </c>
      <c r="S10" s="69">
        <v>485</v>
      </c>
      <c r="T10" s="69">
        <v>403</v>
      </c>
      <c r="U10" s="69">
        <v>333</v>
      </c>
      <c r="V10" s="69">
        <v>748</v>
      </c>
    </row>
    <row r="11" spans="2:23" s="328" customFormat="1" ht="12.75" customHeight="1">
      <c r="C11" s="328" t="s">
        <v>93</v>
      </c>
      <c r="E11" s="356">
        <v>62</v>
      </c>
      <c r="F11" s="338">
        <v>75</v>
      </c>
      <c r="G11" s="339">
        <v>64</v>
      </c>
      <c r="H11" s="339">
        <v>73</v>
      </c>
      <c r="I11" s="339">
        <v>38</v>
      </c>
      <c r="J11" s="339">
        <v>88</v>
      </c>
      <c r="K11" s="339">
        <v>81</v>
      </c>
      <c r="L11" s="339">
        <v>63</v>
      </c>
      <c r="M11" s="339">
        <v>58</v>
      </c>
      <c r="N11" s="339">
        <v>93</v>
      </c>
      <c r="O11" s="339">
        <v>107</v>
      </c>
      <c r="P11" s="339">
        <v>99</v>
      </c>
      <c r="Q11" s="339">
        <v>71</v>
      </c>
      <c r="R11" s="339">
        <v>84</v>
      </c>
      <c r="S11" s="339">
        <v>86</v>
      </c>
      <c r="T11" s="339">
        <v>110</v>
      </c>
      <c r="U11" s="339">
        <v>105</v>
      </c>
      <c r="V11" s="339">
        <v>151</v>
      </c>
    </row>
    <row r="12" spans="2:23" s="328" customFormat="1" ht="12.75" customHeight="1">
      <c r="C12" s="328" t="s">
        <v>161</v>
      </c>
      <c r="E12" s="355">
        <f>SUM(E9:E11)</f>
        <v>705</v>
      </c>
      <c r="F12" s="355">
        <f t="shared" ref="F12:P12" si="0">SUM(F9:F11)</f>
        <v>1638</v>
      </c>
      <c r="G12" s="355">
        <f t="shared" si="0"/>
        <v>980</v>
      </c>
      <c r="H12" s="355">
        <f t="shared" si="0"/>
        <v>1038</v>
      </c>
      <c r="I12" s="355">
        <f t="shared" si="0"/>
        <v>703</v>
      </c>
      <c r="J12" s="355">
        <f t="shared" si="0"/>
        <v>1557</v>
      </c>
      <c r="K12" s="355">
        <f t="shared" si="0"/>
        <v>1308</v>
      </c>
      <c r="L12" s="355">
        <f t="shared" si="0"/>
        <v>967</v>
      </c>
      <c r="M12" s="355">
        <f t="shared" si="0"/>
        <v>745</v>
      </c>
      <c r="N12" s="355">
        <f t="shared" si="0"/>
        <v>1427</v>
      </c>
      <c r="O12" s="355">
        <f t="shared" si="0"/>
        <v>1449</v>
      </c>
      <c r="P12" s="355">
        <f t="shared" si="0"/>
        <v>1146</v>
      </c>
      <c r="Q12" s="355">
        <f t="shared" ref="Q12:R12" si="1">SUM(Q9:Q11)</f>
        <v>754</v>
      </c>
      <c r="R12" s="355">
        <f t="shared" si="1"/>
        <v>1407</v>
      </c>
      <c r="S12" s="355">
        <f t="shared" ref="S12:T12" si="2">SUM(S9:S11)</f>
        <v>1172</v>
      </c>
      <c r="T12" s="355">
        <f t="shared" si="2"/>
        <v>1075</v>
      </c>
      <c r="U12" s="355">
        <f t="shared" ref="U12:V12" si="3">SUM(U9:U11)</f>
        <v>841</v>
      </c>
      <c r="V12" s="355">
        <f t="shared" si="3"/>
        <v>1768</v>
      </c>
    </row>
    <row r="13" spans="2:23" s="328" customFormat="1" ht="12.75" customHeight="1">
      <c r="E13" s="355"/>
      <c r="F13" s="336"/>
      <c r="G13" s="337"/>
      <c r="H13" s="337"/>
      <c r="I13" s="337"/>
      <c r="J13" s="337"/>
      <c r="K13" s="337"/>
      <c r="L13" s="337"/>
      <c r="M13" s="337"/>
      <c r="N13" s="337"/>
      <c r="O13" s="337"/>
      <c r="P13" s="337"/>
      <c r="Q13" s="337"/>
      <c r="R13" s="337"/>
      <c r="S13" s="337"/>
      <c r="T13" s="337"/>
      <c r="U13" s="337"/>
      <c r="V13" s="337"/>
    </row>
    <row r="14" spans="2:23" ht="12.75" customHeight="1">
      <c r="B14" s="328"/>
      <c r="C14" s="328" t="s">
        <v>162</v>
      </c>
      <c r="D14" s="328"/>
      <c r="E14" s="356">
        <v>6</v>
      </c>
      <c r="F14" s="338">
        <v>1</v>
      </c>
      <c r="G14" s="69">
        <v>1</v>
      </c>
      <c r="H14" s="69">
        <v>0</v>
      </c>
      <c r="I14" s="69">
        <v>0</v>
      </c>
      <c r="J14" s="69">
        <v>0</v>
      </c>
      <c r="K14" s="69">
        <v>0</v>
      </c>
      <c r="L14" s="69">
        <v>0</v>
      </c>
      <c r="M14" s="69">
        <v>0</v>
      </c>
      <c r="N14" s="69">
        <v>0</v>
      </c>
      <c r="O14" s="69">
        <v>0</v>
      </c>
      <c r="P14" s="69">
        <v>0</v>
      </c>
      <c r="Q14" s="69">
        <v>0</v>
      </c>
      <c r="R14" s="69">
        <v>0</v>
      </c>
      <c r="S14" s="69">
        <v>0</v>
      </c>
      <c r="T14" s="69">
        <v>0</v>
      </c>
      <c r="U14" s="69">
        <v>0</v>
      </c>
      <c r="V14" s="69">
        <v>0</v>
      </c>
    </row>
    <row r="15" spans="2:23" ht="12.75" customHeight="1" thickBot="1">
      <c r="B15" s="328"/>
      <c r="C15" s="328" t="s">
        <v>94</v>
      </c>
      <c r="D15" s="328"/>
      <c r="E15" s="342">
        <f>+E12+E14</f>
        <v>711</v>
      </c>
      <c r="F15" s="342">
        <f>+F12+F14</f>
        <v>1639</v>
      </c>
      <c r="G15" s="342">
        <f>+G12+G14</f>
        <v>981</v>
      </c>
      <c r="H15" s="342">
        <f t="shared" ref="H15:N15" si="4">SUM(H9:H11)</f>
        <v>1038</v>
      </c>
      <c r="I15" s="342">
        <f t="shared" si="4"/>
        <v>703</v>
      </c>
      <c r="J15" s="342">
        <f t="shared" si="4"/>
        <v>1557</v>
      </c>
      <c r="K15" s="342">
        <f t="shared" si="4"/>
        <v>1308</v>
      </c>
      <c r="L15" s="342">
        <f t="shared" si="4"/>
        <v>967</v>
      </c>
      <c r="M15" s="342">
        <f t="shared" si="4"/>
        <v>745</v>
      </c>
      <c r="N15" s="342">
        <f t="shared" si="4"/>
        <v>1427</v>
      </c>
      <c r="O15" s="342">
        <f t="shared" ref="O15:T15" si="5">SUM(O9:O11)</f>
        <v>1449</v>
      </c>
      <c r="P15" s="342">
        <f t="shared" si="5"/>
        <v>1146</v>
      </c>
      <c r="Q15" s="342">
        <f t="shared" si="5"/>
        <v>754</v>
      </c>
      <c r="R15" s="342">
        <f t="shared" si="5"/>
        <v>1407</v>
      </c>
      <c r="S15" s="342">
        <f t="shared" si="5"/>
        <v>1172</v>
      </c>
      <c r="T15" s="342">
        <f t="shared" si="5"/>
        <v>1075</v>
      </c>
      <c r="U15" s="342">
        <f t="shared" ref="U15:V15" si="6">SUM(U9:U11)</f>
        <v>841</v>
      </c>
      <c r="V15" s="342">
        <f t="shared" si="6"/>
        <v>1768</v>
      </c>
    </row>
    <row r="16" spans="2:23" ht="12.75" customHeight="1">
      <c r="B16" s="328"/>
      <c r="C16" s="328"/>
      <c r="D16" s="328"/>
      <c r="E16" s="336"/>
      <c r="F16" s="336"/>
      <c r="G16" s="336"/>
      <c r="H16" s="336"/>
      <c r="I16" s="336"/>
      <c r="J16" s="336"/>
      <c r="K16" s="336"/>
      <c r="L16" s="336"/>
      <c r="M16" s="336"/>
      <c r="N16" s="336"/>
      <c r="O16" s="336"/>
      <c r="P16" s="336"/>
      <c r="Q16" s="336"/>
      <c r="R16" s="336"/>
      <c r="S16" s="336"/>
      <c r="T16" s="336"/>
      <c r="U16" s="336"/>
      <c r="V16" s="336"/>
    </row>
    <row r="17" spans="2:22" ht="12.75" customHeight="1">
      <c r="B17" s="341" t="s">
        <v>196</v>
      </c>
      <c r="C17" s="328"/>
      <c r="D17" s="328"/>
      <c r="E17" s="344"/>
      <c r="F17" s="344"/>
      <c r="G17" s="344"/>
      <c r="H17" s="344"/>
      <c r="I17" s="344"/>
      <c r="J17" s="344"/>
      <c r="K17" s="344"/>
      <c r="L17" s="344"/>
      <c r="M17" s="344"/>
      <c r="N17" s="344"/>
      <c r="O17" s="344"/>
      <c r="P17" s="344"/>
      <c r="Q17" s="344"/>
      <c r="R17" s="344"/>
      <c r="S17" s="344"/>
      <c r="T17" s="344"/>
      <c r="U17" s="344"/>
      <c r="V17" s="344"/>
    </row>
    <row r="18" spans="2:22" ht="12.75" customHeight="1">
      <c r="B18" s="328"/>
      <c r="C18" s="328" t="s">
        <v>91</v>
      </c>
      <c r="D18" s="328"/>
      <c r="E18" s="345"/>
      <c r="F18" s="345">
        <f>F26-F9</f>
        <v>443</v>
      </c>
      <c r="G18" s="345">
        <f t="shared" ref="G18:N18" si="7">G26-G9</f>
        <v>-150</v>
      </c>
      <c r="H18" s="345">
        <f t="shared" si="7"/>
        <v>-165</v>
      </c>
      <c r="I18" s="345">
        <f t="shared" si="7"/>
        <v>26</v>
      </c>
      <c r="J18" s="345">
        <f t="shared" si="7"/>
        <v>528</v>
      </c>
      <c r="K18" s="345">
        <f t="shared" si="7"/>
        <v>-312</v>
      </c>
      <c r="L18" s="345">
        <f t="shared" si="7"/>
        <v>-192</v>
      </c>
      <c r="M18" s="345">
        <f t="shared" si="7"/>
        <v>41</v>
      </c>
      <c r="N18" s="345">
        <f t="shared" si="7"/>
        <v>627</v>
      </c>
      <c r="O18" s="345">
        <f t="shared" ref="O18:P20" si="8">O26-O9</f>
        <v>-383</v>
      </c>
      <c r="P18" s="345">
        <f t="shared" si="8"/>
        <v>-249</v>
      </c>
      <c r="Q18" s="345">
        <f t="shared" ref="Q18:R18" si="9">Q26-Q9</f>
        <v>-72</v>
      </c>
      <c r="R18" s="345">
        <f t="shared" si="9"/>
        <v>548</v>
      </c>
      <c r="S18" s="345">
        <f t="shared" ref="S18:T18" si="10">S26-S9</f>
        <v>-331</v>
      </c>
      <c r="T18" s="345">
        <f t="shared" si="10"/>
        <v>-79</v>
      </c>
      <c r="U18" s="345">
        <f t="shared" ref="U18:V18" si="11">U26-U9</f>
        <v>-49</v>
      </c>
      <c r="V18" s="345">
        <f t="shared" si="11"/>
        <v>538</v>
      </c>
    </row>
    <row r="19" spans="2:22" ht="12.75" customHeight="1">
      <c r="B19" s="328"/>
      <c r="C19" s="328" t="s">
        <v>92</v>
      </c>
      <c r="D19" s="328"/>
      <c r="E19" s="345"/>
      <c r="F19" s="345">
        <f t="shared" ref="F19" si="12">F27-F10</f>
        <v>241</v>
      </c>
      <c r="G19" s="345">
        <f t="shared" ref="G19:N19" si="13">G27-G10</f>
        <v>-99</v>
      </c>
      <c r="H19" s="345">
        <f t="shared" si="13"/>
        <v>-69</v>
      </c>
      <c r="I19" s="345">
        <f t="shared" si="13"/>
        <v>22</v>
      </c>
      <c r="J19" s="345">
        <f t="shared" si="13"/>
        <v>371</v>
      </c>
      <c r="K19" s="345">
        <f t="shared" si="13"/>
        <v>-254</v>
      </c>
      <c r="L19" s="345">
        <f t="shared" si="13"/>
        <v>-79</v>
      </c>
      <c r="M19" s="345">
        <f t="shared" si="13"/>
        <v>53</v>
      </c>
      <c r="N19" s="345">
        <f t="shared" si="13"/>
        <v>440</v>
      </c>
      <c r="O19" s="345">
        <f t="shared" si="8"/>
        <v>-271</v>
      </c>
      <c r="P19" s="345">
        <f t="shared" si="8"/>
        <v>-181</v>
      </c>
      <c r="Q19" s="345">
        <f t="shared" ref="Q19:R19" si="14">Q27-Q10</f>
        <v>-45</v>
      </c>
      <c r="R19" s="345">
        <f t="shared" si="14"/>
        <v>395</v>
      </c>
      <c r="S19" s="345">
        <f t="shared" ref="S19:T19" si="15">S27-S10</f>
        <v>-225</v>
      </c>
      <c r="T19" s="345">
        <f t="shared" si="15"/>
        <v>-9</v>
      </c>
      <c r="U19" s="345">
        <f t="shared" ref="U19:V19" si="16">U27-U10</f>
        <v>-9</v>
      </c>
      <c r="V19" s="345">
        <f t="shared" si="16"/>
        <v>271</v>
      </c>
    </row>
    <row r="20" spans="2:22" ht="12.75" customHeight="1">
      <c r="B20" s="328"/>
      <c r="C20" s="328" t="s">
        <v>93</v>
      </c>
      <c r="D20" s="328"/>
      <c r="E20" s="345"/>
      <c r="F20" s="345">
        <f t="shared" ref="F20" si="17">F28-F11</f>
        <v>21</v>
      </c>
      <c r="G20" s="345">
        <f t="shared" ref="G20:N20" si="18">G28-G11</f>
        <v>-7</v>
      </c>
      <c r="H20" s="345">
        <f t="shared" si="18"/>
        <v>-3</v>
      </c>
      <c r="I20" s="345">
        <f t="shared" si="18"/>
        <v>4</v>
      </c>
      <c r="J20" s="345">
        <f t="shared" si="18"/>
        <v>39</v>
      </c>
      <c r="K20" s="345">
        <f t="shared" si="18"/>
        <v>-28</v>
      </c>
      <c r="L20" s="345">
        <f t="shared" si="18"/>
        <v>-13</v>
      </c>
      <c r="M20" s="345">
        <f t="shared" si="18"/>
        <v>18</v>
      </c>
      <c r="N20" s="345">
        <f t="shared" si="18"/>
        <v>54</v>
      </c>
      <c r="O20" s="345">
        <f t="shared" si="8"/>
        <v>-40</v>
      </c>
      <c r="P20" s="345">
        <f t="shared" si="8"/>
        <v>-17</v>
      </c>
      <c r="Q20" s="345">
        <f t="shared" ref="Q20:R20" si="19">Q28-Q11</f>
        <v>-10</v>
      </c>
      <c r="R20" s="345">
        <f t="shared" si="19"/>
        <v>58</v>
      </c>
      <c r="S20" s="345">
        <f t="shared" ref="S20:T20" si="20">S28-S11</f>
        <v>-29</v>
      </c>
      <c r="T20" s="345">
        <f t="shared" si="20"/>
        <v>67</v>
      </c>
      <c r="U20" s="345">
        <f t="shared" ref="U20:V20" si="21">U28-U11</f>
        <v>-32</v>
      </c>
      <c r="V20" s="345">
        <f t="shared" si="21"/>
        <v>18</v>
      </c>
    </row>
    <row r="21" spans="2:22" ht="12.75" customHeight="1">
      <c r="B21" s="328"/>
      <c r="C21" s="328" t="s">
        <v>95</v>
      </c>
      <c r="D21" s="328"/>
      <c r="E21" s="336"/>
      <c r="F21" s="357">
        <f t="shared" ref="F21" si="22">SUM(F18:F20)</f>
        <v>705</v>
      </c>
      <c r="G21" s="357">
        <f t="shared" ref="G21:N21" si="23">SUM(G18:G20)</f>
        <v>-256</v>
      </c>
      <c r="H21" s="357">
        <f t="shared" si="23"/>
        <v>-237</v>
      </c>
      <c r="I21" s="357">
        <f t="shared" si="23"/>
        <v>52</v>
      </c>
      <c r="J21" s="357">
        <f t="shared" si="23"/>
        <v>938</v>
      </c>
      <c r="K21" s="357">
        <f t="shared" si="23"/>
        <v>-594</v>
      </c>
      <c r="L21" s="357">
        <f t="shared" si="23"/>
        <v>-284</v>
      </c>
      <c r="M21" s="357">
        <f t="shared" si="23"/>
        <v>112</v>
      </c>
      <c r="N21" s="357">
        <f t="shared" si="23"/>
        <v>1121</v>
      </c>
      <c r="O21" s="357">
        <f t="shared" ref="O21:T21" si="24">SUM(O18:O20)</f>
        <v>-694</v>
      </c>
      <c r="P21" s="357">
        <f t="shared" si="24"/>
        <v>-447</v>
      </c>
      <c r="Q21" s="357">
        <f t="shared" si="24"/>
        <v>-127</v>
      </c>
      <c r="R21" s="357">
        <f t="shared" si="24"/>
        <v>1001</v>
      </c>
      <c r="S21" s="357">
        <f t="shared" si="24"/>
        <v>-585</v>
      </c>
      <c r="T21" s="357">
        <f t="shared" si="24"/>
        <v>-21</v>
      </c>
      <c r="U21" s="357">
        <f t="shared" ref="U21:V21" si="25">SUM(U18:U20)</f>
        <v>-90</v>
      </c>
      <c r="V21" s="357">
        <f t="shared" si="25"/>
        <v>827</v>
      </c>
    </row>
    <row r="22" spans="2:22" ht="6" customHeight="1">
      <c r="B22" s="328"/>
      <c r="C22" s="328"/>
      <c r="D22" s="328"/>
      <c r="E22" s="336"/>
      <c r="F22" s="336"/>
      <c r="G22" s="336"/>
      <c r="H22" s="336"/>
      <c r="I22" s="336"/>
      <c r="J22" s="336"/>
      <c r="K22" s="336"/>
      <c r="L22" s="336"/>
      <c r="M22" s="336"/>
      <c r="N22" s="336"/>
      <c r="O22" s="336"/>
      <c r="P22" s="336"/>
      <c r="Q22" s="336"/>
      <c r="R22" s="336"/>
      <c r="S22" s="336"/>
      <c r="T22" s="336"/>
      <c r="U22" s="336"/>
      <c r="V22" s="336"/>
    </row>
    <row r="23" spans="2:22" ht="12.75" customHeight="1">
      <c r="B23" s="358" t="s">
        <v>197</v>
      </c>
      <c r="C23" s="328"/>
      <c r="D23" s="328"/>
      <c r="E23" s="345"/>
      <c r="F23" s="406">
        <v>-1</v>
      </c>
      <c r="G23" s="406">
        <v>-1</v>
      </c>
      <c r="H23" s="406">
        <f t="shared" ref="H23:N23" si="26">H31-H17</f>
        <v>0</v>
      </c>
      <c r="I23" s="406">
        <f t="shared" si="26"/>
        <v>0</v>
      </c>
      <c r="J23" s="406">
        <f t="shared" si="26"/>
        <v>0</v>
      </c>
      <c r="K23" s="406">
        <f t="shared" si="26"/>
        <v>0</v>
      </c>
      <c r="L23" s="406">
        <f t="shared" si="26"/>
        <v>0</v>
      </c>
      <c r="M23" s="406">
        <f t="shared" si="26"/>
        <v>0</v>
      </c>
      <c r="N23" s="406">
        <f t="shared" si="26"/>
        <v>0</v>
      </c>
      <c r="O23" s="406">
        <f t="shared" ref="O23:T23" si="27">O31-O17</f>
        <v>0</v>
      </c>
      <c r="P23" s="406">
        <f t="shared" si="27"/>
        <v>0</v>
      </c>
      <c r="Q23" s="406">
        <f t="shared" si="27"/>
        <v>0</v>
      </c>
      <c r="R23" s="406">
        <f t="shared" si="27"/>
        <v>0</v>
      </c>
      <c r="S23" s="406">
        <f t="shared" si="27"/>
        <v>0</v>
      </c>
      <c r="T23" s="406">
        <f t="shared" si="27"/>
        <v>0</v>
      </c>
      <c r="U23" s="406">
        <f t="shared" ref="U23:V23" si="28">U31-U17</f>
        <v>0</v>
      </c>
      <c r="V23" s="406">
        <f t="shared" si="28"/>
        <v>0</v>
      </c>
    </row>
    <row r="24" spans="2:22" ht="12.75" customHeight="1">
      <c r="B24" s="328"/>
      <c r="C24" s="328"/>
      <c r="D24" s="328"/>
      <c r="E24" s="336"/>
      <c r="F24" s="336"/>
      <c r="G24" s="336"/>
      <c r="H24" s="336"/>
      <c r="I24" s="336"/>
      <c r="J24" s="336"/>
      <c r="K24" s="336"/>
      <c r="L24" s="336"/>
      <c r="M24" s="336"/>
      <c r="N24" s="336"/>
      <c r="O24" s="336"/>
      <c r="P24" s="336"/>
      <c r="Q24" s="336"/>
      <c r="R24" s="336"/>
      <c r="S24" s="336"/>
      <c r="T24" s="336"/>
      <c r="U24" s="336"/>
      <c r="V24" s="336"/>
    </row>
    <row r="25" spans="2:22" ht="12.75" customHeight="1">
      <c r="B25" s="341" t="s">
        <v>96</v>
      </c>
      <c r="C25" s="328"/>
      <c r="D25" s="328"/>
      <c r="E25" s="345"/>
      <c r="F25" s="345"/>
      <c r="G25" s="345"/>
      <c r="H25" s="345"/>
      <c r="I25" s="345"/>
      <c r="J25" s="345"/>
      <c r="K25" s="345"/>
      <c r="L25" s="345"/>
      <c r="M25" s="345"/>
      <c r="N25" s="345"/>
      <c r="O25" s="345"/>
      <c r="P25" s="345"/>
      <c r="Q25" s="345"/>
      <c r="R25" s="345"/>
      <c r="S25" s="345"/>
      <c r="T25" s="345"/>
      <c r="U25" s="345"/>
      <c r="V25" s="345"/>
    </row>
    <row r="26" spans="2:22" ht="12.75" customHeight="1">
      <c r="B26" s="328"/>
      <c r="C26" s="328" t="s">
        <v>91</v>
      </c>
      <c r="D26" s="328"/>
      <c r="E26" s="355"/>
      <c r="F26" s="355">
        <v>1346</v>
      </c>
      <c r="G26" s="355">
        <v>374</v>
      </c>
      <c r="H26" s="355">
        <v>392</v>
      </c>
      <c r="I26" s="355">
        <v>404</v>
      </c>
      <c r="J26" s="355">
        <v>1287</v>
      </c>
      <c r="K26" s="355">
        <v>391</v>
      </c>
      <c r="L26" s="355">
        <v>375</v>
      </c>
      <c r="M26" s="355">
        <v>447</v>
      </c>
      <c r="N26" s="355">
        <v>1361</v>
      </c>
      <c r="O26" s="355">
        <v>365</v>
      </c>
      <c r="P26" s="355">
        <v>331</v>
      </c>
      <c r="Q26" s="355">
        <v>288</v>
      </c>
      <c r="R26" s="355">
        <v>1266</v>
      </c>
      <c r="S26" s="355">
        <v>270</v>
      </c>
      <c r="T26" s="355">
        <v>483</v>
      </c>
      <c r="U26" s="355">
        <v>354</v>
      </c>
      <c r="V26" s="355">
        <v>1407</v>
      </c>
    </row>
    <row r="27" spans="2:22" ht="12.75" customHeight="1">
      <c r="B27" s="328"/>
      <c r="C27" s="328" t="s">
        <v>92</v>
      </c>
      <c r="D27" s="328"/>
      <c r="E27" s="355"/>
      <c r="F27" s="355">
        <v>901</v>
      </c>
      <c r="G27" s="355">
        <v>293</v>
      </c>
      <c r="H27" s="355">
        <v>339</v>
      </c>
      <c r="I27" s="355">
        <v>309</v>
      </c>
      <c r="J27" s="355">
        <v>1081</v>
      </c>
      <c r="K27" s="355">
        <v>270</v>
      </c>
      <c r="L27" s="355">
        <v>258</v>
      </c>
      <c r="M27" s="355">
        <v>334</v>
      </c>
      <c r="N27" s="355">
        <v>1040</v>
      </c>
      <c r="O27" s="355">
        <v>323</v>
      </c>
      <c r="P27" s="355">
        <v>286</v>
      </c>
      <c r="Q27" s="355">
        <v>278</v>
      </c>
      <c r="R27" s="355">
        <v>1000</v>
      </c>
      <c r="S27" s="355">
        <v>260</v>
      </c>
      <c r="T27" s="355">
        <v>394</v>
      </c>
      <c r="U27" s="355">
        <v>324</v>
      </c>
      <c r="V27" s="355">
        <v>1019</v>
      </c>
    </row>
    <row r="28" spans="2:22" ht="12.75" customHeight="1">
      <c r="B28" s="328"/>
      <c r="C28" s="328" t="s">
        <v>93</v>
      </c>
      <c r="D28" s="328"/>
      <c r="E28" s="355"/>
      <c r="F28" s="356">
        <v>96</v>
      </c>
      <c r="G28" s="356">
        <v>57</v>
      </c>
      <c r="H28" s="356">
        <v>70</v>
      </c>
      <c r="I28" s="356">
        <v>42</v>
      </c>
      <c r="J28" s="356">
        <v>127</v>
      </c>
      <c r="K28" s="356">
        <v>53</v>
      </c>
      <c r="L28" s="356">
        <v>50</v>
      </c>
      <c r="M28" s="356">
        <v>76</v>
      </c>
      <c r="N28" s="356">
        <v>147</v>
      </c>
      <c r="O28" s="356">
        <v>67</v>
      </c>
      <c r="P28" s="356">
        <v>82</v>
      </c>
      <c r="Q28" s="356">
        <v>61</v>
      </c>
      <c r="R28" s="356">
        <v>142</v>
      </c>
      <c r="S28" s="356">
        <v>57</v>
      </c>
      <c r="T28" s="356">
        <v>177</v>
      </c>
      <c r="U28" s="356">
        <v>73</v>
      </c>
      <c r="V28" s="356">
        <v>169</v>
      </c>
    </row>
    <row r="29" spans="2:22" ht="14.25" thickBot="1">
      <c r="B29" s="328"/>
      <c r="C29" s="328" t="s">
        <v>198</v>
      </c>
      <c r="D29" s="328"/>
      <c r="E29" s="336"/>
      <c r="F29" s="342">
        <f t="shared" ref="F29" si="29">SUM(F26:F28)</f>
        <v>2343</v>
      </c>
      <c r="G29" s="342">
        <f t="shared" ref="G29:N29" si="30">SUM(G26:G28)</f>
        <v>724</v>
      </c>
      <c r="H29" s="342">
        <f t="shared" si="30"/>
        <v>801</v>
      </c>
      <c r="I29" s="342">
        <f t="shared" si="30"/>
        <v>755</v>
      </c>
      <c r="J29" s="342">
        <f t="shared" si="30"/>
        <v>2495</v>
      </c>
      <c r="K29" s="342">
        <f t="shared" si="30"/>
        <v>714</v>
      </c>
      <c r="L29" s="342">
        <f t="shared" si="30"/>
        <v>683</v>
      </c>
      <c r="M29" s="342">
        <f t="shared" si="30"/>
        <v>857</v>
      </c>
      <c r="N29" s="342">
        <f t="shared" si="30"/>
        <v>2548</v>
      </c>
      <c r="O29" s="342">
        <f t="shared" ref="O29:T29" si="31">SUM(O26:O28)</f>
        <v>755</v>
      </c>
      <c r="P29" s="342">
        <f t="shared" si="31"/>
        <v>699</v>
      </c>
      <c r="Q29" s="342">
        <f t="shared" si="31"/>
        <v>627</v>
      </c>
      <c r="R29" s="342">
        <f t="shared" si="31"/>
        <v>2408</v>
      </c>
      <c r="S29" s="342">
        <f t="shared" si="31"/>
        <v>587</v>
      </c>
      <c r="T29" s="342">
        <f t="shared" si="31"/>
        <v>1054</v>
      </c>
      <c r="U29" s="342">
        <f t="shared" ref="U29:V29" si="32">SUM(U26:U28)</f>
        <v>751</v>
      </c>
      <c r="V29" s="342">
        <f t="shared" si="32"/>
        <v>2595</v>
      </c>
    </row>
    <row r="30" spans="2:22" ht="12.75" customHeight="1">
      <c r="B30" s="328"/>
      <c r="C30" s="328"/>
      <c r="D30" s="328"/>
      <c r="F30" s="349"/>
    </row>
    <row r="31" spans="2:22">
      <c r="B31" s="328"/>
      <c r="C31" s="328"/>
      <c r="D31" s="328"/>
      <c r="E31" s="359"/>
    </row>
    <row r="32" spans="2:22" ht="13.5" customHeight="1">
      <c r="B32" s="328"/>
      <c r="C32" s="589" t="s">
        <v>199</v>
      </c>
      <c r="D32" s="589"/>
      <c r="E32" s="589"/>
      <c r="F32" s="589"/>
      <c r="G32" s="589"/>
      <c r="H32" s="589"/>
      <c r="I32" s="589"/>
      <c r="J32" s="589"/>
      <c r="K32" s="589"/>
      <c r="L32" s="589"/>
      <c r="M32" s="589"/>
      <c r="N32" s="589"/>
      <c r="O32" s="589"/>
    </row>
    <row r="33" spans="2:11" ht="13.5">
      <c r="B33" s="341"/>
      <c r="C33" s="360" t="s">
        <v>200</v>
      </c>
      <c r="D33" s="328"/>
      <c r="E33" s="359"/>
    </row>
    <row r="34" spans="2:11" ht="13.5">
      <c r="B34" s="341"/>
      <c r="C34" s="360"/>
      <c r="D34" s="328"/>
      <c r="E34" s="359"/>
    </row>
    <row r="35" spans="2:11" ht="14.25" outlineLevel="1">
      <c r="B35" s="328"/>
      <c r="C35" s="461" t="s">
        <v>231</v>
      </c>
      <c r="D35" s="457"/>
      <c r="E35" s="458"/>
      <c r="F35" s="459"/>
      <c r="G35" s="460"/>
      <c r="H35" s="460"/>
      <c r="I35" s="460"/>
      <c r="J35" s="460"/>
      <c r="K35" s="460"/>
    </row>
    <row r="36" spans="2:11" outlineLevel="1">
      <c r="B36" s="328"/>
      <c r="C36" s="328" t="s">
        <v>233</v>
      </c>
      <c r="D36" s="328"/>
      <c r="E36" s="359"/>
    </row>
    <row r="37" spans="2:11" outlineLevel="1">
      <c r="B37" s="328"/>
      <c r="C37" s="328"/>
      <c r="D37" s="328"/>
      <c r="E37" s="359"/>
    </row>
    <row r="38" spans="2:11">
      <c r="B38" s="328"/>
      <c r="C38" s="328"/>
      <c r="D38" s="328"/>
      <c r="E38" s="359"/>
    </row>
    <row r="39" spans="2:11">
      <c r="B39" s="328"/>
      <c r="C39" s="328"/>
      <c r="D39" s="328"/>
      <c r="E39" s="359"/>
    </row>
    <row r="40" spans="2:11">
      <c r="B40" s="328"/>
      <c r="C40" s="328"/>
      <c r="D40" s="328"/>
      <c r="E40" s="359"/>
    </row>
    <row r="41" spans="2:11">
      <c r="B41" s="328"/>
      <c r="C41" s="328"/>
      <c r="D41" s="328"/>
      <c r="E41" s="359"/>
    </row>
    <row r="42" spans="2:11">
      <c r="B42" s="328"/>
      <c r="C42" s="328"/>
      <c r="D42" s="328"/>
      <c r="E42" s="359"/>
    </row>
    <row r="43" spans="2:11" s="350" customFormat="1">
      <c r="B43" s="328"/>
      <c r="C43" s="328"/>
      <c r="D43" s="328"/>
      <c r="E43" s="359"/>
      <c r="G43" s="327"/>
      <c r="H43" s="327"/>
      <c r="I43" s="327"/>
      <c r="J43" s="327"/>
      <c r="K43" s="327"/>
    </row>
    <row r="44" spans="2:11" s="350" customFormat="1">
      <c r="B44" s="328"/>
      <c r="C44" s="328"/>
      <c r="D44" s="328"/>
      <c r="E44" s="359"/>
      <c r="G44" s="327"/>
      <c r="H44" s="327"/>
      <c r="I44" s="327"/>
      <c r="J44" s="327"/>
      <c r="K44" s="327"/>
    </row>
    <row r="45" spans="2:11" s="350" customFormat="1">
      <c r="B45" s="328"/>
      <c r="C45" s="328"/>
      <c r="D45" s="328"/>
      <c r="E45" s="359"/>
      <c r="G45" s="327"/>
      <c r="H45" s="327"/>
      <c r="I45" s="327"/>
      <c r="J45" s="327"/>
      <c r="K45" s="327"/>
    </row>
    <row r="46" spans="2:11" s="350" customFormat="1">
      <c r="B46" s="328"/>
      <c r="C46" s="328"/>
      <c r="D46" s="328"/>
      <c r="E46" s="359"/>
      <c r="G46" s="327"/>
      <c r="H46" s="327"/>
      <c r="I46" s="327"/>
      <c r="J46" s="327"/>
      <c r="K46" s="327"/>
    </row>
    <row r="47" spans="2:11" s="350" customFormat="1">
      <c r="B47" s="328"/>
      <c r="C47" s="328"/>
      <c r="D47" s="328"/>
      <c r="E47" s="359"/>
      <c r="G47" s="327"/>
      <c r="H47" s="327"/>
      <c r="I47" s="327"/>
      <c r="J47" s="327"/>
      <c r="K47" s="327"/>
    </row>
    <row r="48" spans="2:11" s="350" customFormat="1">
      <c r="B48" s="328"/>
      <c r="C48" s="328"/>
      <c r="D48" s="328"/>
      <c r="E48" s="359"/>
      <c r="G48" s="327"/>
      <c r="H48" s="327"/>
      <c r="I48" s="327"/>
      <c r="J48" s="327"/>
      <c r="K48" s="327"/>
    </row>
    <row r="49" spans="2:11" s="350" customFormat="1">
      <c r="B49" s="328"/>
      <c r="C49" s="328"/>
      <c r="D49" s="328"/>
      <c r="E49" s="359"/>
      <c r="G49" s="327"/>
      <c r="H49" s="327"/>
      <c r="I49" s="327"/>
      <c r="J49" s="327"/>
      <c r="K49" s="327"/>
    </row>
    <row r="50" spans="2:11" s="350" customFormat="1">
      <c r="B50" s="328"/>
      <c r="C50" s="328"/>
      <c r="D50" s="328"/>
      <c r="E50" s="359"/>
      <c r="G50" s="327"/>
      <c r="H50" s="327"/>
      <c r="I50" s="327"/>
      <c r="J50" s="327"/>
      <c r="K50" s="327"/>
    </row>
    <row r="51" spans="2:11" s="350" customFormat="1">
      <c r="B51" s="328"/>
      <c r="C51" s="328"/>
      <c r="D51" s="328"/>
      <c r="E51" s="359"/>
      <c r="G51" s="327"/>
      <c r="H51" s="327"/>
      <c r="I51" s="327"/>
      <c r="J51" s="327"/>
      <c r="K51" s="327"/>
    </row>
  </sheetData>
  <mergeCells count="4">
    <mergeCell ref="C32:O32"/>
    <mergeCell ref="B1:W1"/>
    <mergeCell ref="B2:W2"/>
    <mergeCell ref="B3:W3"/>
  </mergeCells>
  <pageMargins left="0.7" right="0.7" top="0.25" bottom="0.44" header="0.3" footer="0.3"/>
  <pageSetup scale="61" orientation="landscape" r:id="rId1"/>
  <headerFooter>
    <oddFooter>&amp;LActivision Blizzard, Inc.&amp;R&amp;P of &amp; 17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91"/>
  <sheetViews>
    <sheetView showGridLines="0" view="pageBreakPreview" zoomScaleNormal="100" zoomScaleSheetLayoutView="100" workbookViewId="0">
      <pane xSplit="6" ySplit="7" topLeftCell="G8" activePane="bottomRight" state="frozen"/>
      <selection pane="topRight" activeCell="G1" sqref="G1"/>
      <selection pane="bottomLeft" activeCell="A8" sqref="A8"/>
      <selection pane="bottomRight" activeCell="G8" sqref="G8"/>
    </sheetView>
  </sheetViews>
  <sheetFormatPr defaultColWidth="11.42578125" defaultRowHeight="12" outlineLevelRow="1" outlineLevelCol="1"/>
  <cols>
    <col min="1" max="1" width="2.85546875" style="327" customWidth="1"/>
    <col min="2" max="2" width="2" style="327" customWidth="1"/>
    <col min="3" max="3" width="2.85546875" style="327" customWidth="1"/>
    <col min="4" max="4" width="36.85546875" style="327" customWidth="1"/>
    <col min="5" max="5" width="8.5703125" style="349" customWidth="1" outlineLevel="1"/>
    <col min="6" max="9" width="8.5703125" style="327" customWidth="1" outlineLevel="1"/>
    <col min="10" max="10" width="8.5703125" style="435" customWidth="1" outlineLevel="1"/>
    <col min="11" max="12" width="8.5703125" style="435" customWidth="1"/>
    <col min="13" max="22" width="8.5703125" style="327" customWidth="1"/>
    <col min="23" max="23" width="2.5703125" style="327" customWidth="1"/>
    <col min="24" max="16384" width="11.42578125" style="327"/>
  </cols>
  <sheetData>
    <row r="1" spans="2:23" ht="18.75" customHeight="1">
      <c r="B1" s="587" t="s">
        <v>76</v>
      </c>
      <c r="C1" s="587"/>
      <c r="D1" s="587"/>
      <c r="E1" s="587"/>
      <c r="F1" s="587"/>
      <c r="G1" s="587"/>
      <c r="H1" s="587"/>
      <c r="I1" s="587"/>
      <c r="J1" s="587"/>
      <c r="K1" s="587"/>
      <c r="L1" s="587"/>
      <c r="M1" s="587"/>
      <c r="N1" s="587"/>
      <c r="O1" s="587"/>
      <c r="P1" s="587"/>
      <c r="Q1" s="587"/>
      <c r="R1" s="587"/>
      <c r="S1" s="587"/>
      <c r="T1" s="587"/>
      <c r="U1" s="587"/>
      <c r="V1" s="587"/>
      <c r="W1" s="587"/>
    </row>
    <row r="2" spans="2:23">
      <c r="B2" s="587" t="s">
        <v>294</v>
      </c>
      <c r="C2" s="587"/>
      <c r="D2" s="587"/>
      <c r="E2" s="587"/>
      <c r="F2" s="587"/>
      <c r="G2" s="587"/>
      <c r="H2" s="587"/>
      <c r="I2" s="587"/>
      <c r="J2" s="587"/>
      <c r="K2" s="587"/>
      <c r="L2" s="587"/>
      <c r="M2" s="587"/>
      <c r="N2" s="587"/>
      <c r="O2" s="587"/>
      <c r="P2" s="587"/>
      <c r="Q2" s="587"/>
      <c r="R2" s="587"/>
      <c r="S2" s="587"/>
      <c r="T2" s="587"/>
      <c r="U2" s="587"/>
      <c r="V2" s="587"/>
      <c r="W2" s="587"/>
    </row>
    <row r="3" spans="2:23" ht="12.75" customHeight="1">
      <c r="B3" s="587" t="s">
        <v>77</v>
      </c>
      <c r="C3" s="587"/>
      <c r="D3" s="587"/>
      <c r="E3" s="587"/>
      <c r="F3" s="587"/>
      <c r="G3" s="587"/>
      <c r="H3" s="587"/>
      <c r="I3" s="587"/>
      <c r="J3" s="587"/>
      <c r="K3" s="587"/>
      <c r="L3" s="587"/>
      <c r="M3" s="587"/>
      <c r="N3" s="587"/>
      <c r="O3" s="587"/>
      <c r="P3" s="587"/>
      <c r="Q3" s="587"/>
      <c r="R3" s="587"/>
      <c r="S3" s="587"/>
      <c r="T3" s="587"/>
      <c r="U3" s="587"/>
      <c r="V3" s="587"/>
      <c r="W3" s="587"/>
    </row>
    <row r="4" spans="2:23">
      <c r="E4" s="361"/>
      <c r="F4" s="328"/>
      <c r="G4" s="328"/>
    </row>
    <row r="5" spans="2:23">
      <c r="E5" s="354"/>
      <c r="F5" s="354"/>
      <c r="G5" s="354"/>
    </row>
    <row r="6" spans="2:23" s="328" customFormat="1" ht="12.75" customHeight="1">
      <c r="E6" s="19" t="s">
        <v>228</v>
      </c>
      <c r="F6" s="529" t="s">
        <v>6</v>
      </c>
      <c r="G6" s="529" t="s">
        <v>3</v>
      </c>
      <c r="H6" s="529" t="s">
        <v>4</v>
      </c>
      <c r="I6" s="332" t="s">
        <v>5</v>
      </c>
      <c r="J6" s="439" t="s">
        <v>6</v>
      </c>
      <c r="K6" s="439" t="s">
        <v>3</v>
      </c>
      <c r="L6" s="439" t="s">
        <v>4</v>
      </c>
      <c r="M6" s="332" t="s">
        <v>5</v>
      </c>
      <c r="N6" s="332" t="s">
        <v>6</v>
      </c>
      <c r="O6" s="332" t="s">
        <v>3</v>
      </c>
      <c r="P6" s="332" t="s">
        <v>4</v>
      </c>
      <c r="Q6" s="332" t="s">
        <v>5</v>
      </c>
      <c r="R6" s="332" t="s">
        <v>6</v>
      </c>
      <c r="S6" s="332" t="s">
        <v>3</v>
      </c>
      <c r="T6" s="332" t="s">
        <v>4</v>
      </c>
      <c r="U6" s="332" t="s">
        <v>5</v>
      </c>
      <c r="V6" s="332" t="s">
        <v>6</v>
      </c>
    </row>
    <row r="7" spans="2:23" s="328" customFormat="1" ht="12.75" customHeight="1" thickBot="1">
      <c r="E7" s="333" t="s">
        <v>43</v>
      </c>
      <c r="F7" s="334" t="s">
        <v>43</v>
      </c>
      <c r="G7" s="334" t="s">
        <v>44</v>
      </c>
      <c r="H7" s="334" t="s">
        <v>44</v>
      </c>
      <c r="I7" s="332" t="s">
        <v>44</v>
      </c>
      <c r="J7" s="439" t="s">
        <v>44</v>
      </c>
      <c r="K7" s="439" t="s">
        <v>45</v>
      </c>
      <c r="L7" s="439" t="s">
        <v>45</v>
      </c>
      <c r="M7" s="332" t="s">
        <v>45</v>
      </c>
      <c r="N7" s="332" t="s">
        <v>45</v>
      </c>
      <c r="O7" s="332" t="s">
        <v>46</v>
      </c>
      <c r="P7" s="332" t="s">
        <v>46</v>
      </c>
      <c r="Q7" s="332" t="s">
        <v>46</v>
      </c>
      <c r="R7" s="332" t="s">
        <v>46</v>
      </c>
      <c r="S7" s="332" t="s">
        <v>266</v>
      </c>
      <c r="T7" s="332" t="s">
        <v>266</v>
      </c>
      <c r="U7" s="332" t="s">
        <v>266</v>
      </c>
      <c r="V7" s="332" t="s">
        <v>266</v>
      </c>
    </row>
    <row r="8" spans="2:23" s="353" customFormat="1">
      <c r="B8" s="341" t="s">
        <v>98</v>
      </c>
      <c r="E8" s="335"/>
      <c r="F8" s="335"/>
      <c r="G8" s="362"/>
      <c r="H8" s="335"/>
      <c r="I8" s="335"/>
      <c r="J8" s="479"/>
      <c r="K8" s="441"/>
      <c r="L8" s="441"/>
      <c r="M8" s="362"/>
      <c r="N8" s="335"/>
      <c r="O8" s="335"/>
      <c r="P8" s="362"/>
      <c r="Q8" s="362"/>
      <c r="R8" s="362"/>
      <c r="S8" s="362"/>
      <c r="T8" s="362"/>
      <c r="U8" s="362"/>
      <c r="V8" s="362"/>
    </row>
    <row r="9" spans="2:23" ht="12" customHeight="1">
      <c r="B9" s="328" t="s">
        <v>99</v>
      </c>
      <c r="C9" s="328"/>
      <c r="D9" s="328"/>
      <c r="E9" s="359"/>
      <c r="F9" s="359"/>
      <c r="G9" s="363"/>
    </row>
    <row r="10" spans="2:23" ht="12" customHeight="1">
      <c r="B10" s="328"/>
      <c r="C10" s="328" t="s">
        <v>109</v>
      </c>
      <c r="D10" s="328"/>
      <c r="E10" s="364">
        <v>274</v>
      </c>
      <c r="F10" s="364">
        <v>326</v>
      </c>
      <c r="G10" s="365">
        <v>319</v>
      </c>
      <c r="H10" s="364">
        <v>327</v>
      </c>
      <c r="I10" s="364">
        <v>306</v>
      </c>
      <c r="J10" s="480">
        <v>308</v>
      </c>
      <c r="K10" s="481">
        <v>310</v>
      </c>
      <c r="L10" s="481">
        <v>291</v>
      </c>
      <c r="M10" s="365">
        <v>289</v>
      </c>
      <c r="N10" s="364">
        <v>340</v>
      </c>
      <c r="O10" s="364">
        <v>395</v>
      </c>
      <c r="P10" s="364">
        <v>359</v>
      </c>
      <c r="Q10" s="364">
        <v>336</v>
      </c>
      <c r="R10" s="364">
        <v>268</v>
      </c>
      <c r="S10" s="364">
        <v>256</v>
      </c>
      <c r="T10" s="364">
        <v>220</v>
      </c>
      <c r="U10" s="364">
        <v>226</v>
      </c>
      <c r="V10" s="364">
        <v>285</v>
      </c>
    </row>
    <row r="11" spans="2:23" ht="12" customHeight="1">
      <c r="B11" s="328"/>
      <c r="C11" s="328" t="s">
        <v>273</v>
      </c>
      <c r="D11" s="328"/>
      <c r="E11" s="351">
        <v>22</v>
      </c>
      <c r="F11" s="351">
        <v>48</v>
      </c>
      <c r="G11" s="365">
        <v>41</v>
      </c>
      <c r="H11" s="351">
        <v>38</v>
      </c>
      <c r="I11" s="351">
        <v>27</v>
      </c>
      <c r="J11" s="480">
        <v>46</v>
      </c>
      <c r="K11" s="454">
        <v>49</v>
      </c>
      <c r="L11" s="454">
        <v>79</v>
      </c>
      <c r="M11" s="365">
        <v>73</v>
      </c>
      <c r="N11" s="351">
        <v>124</v>
      </c>
      <c r="O11" s="351">
        <v>124</v>
      </c>
      <c r="P11" s="351">
        <v>80</v>
      </c>
      <c r="Q11" s="351">
        <v>45</v>
      </c>
      <c r="R11" s="351">
        <v>123</v>
      </c>
      <c r="S11" s="351">
        <v>137</v>
      </c>
      <c r="T11" s="351">
        <v>276</v>
      </c>
      <c r="U11" s="351">
        <v>314</v>
      </c>
      <c r="V11" s="351">
        <v>487</v>
      </c>
    </row>
    <row r="12" spans="2:23" ht="12" customHeight="1">
      <c r="B12" s="328"/>
      <c r="C12" s="328"/>
      <c r="D12" s="328" t="s">
        <v>279</v>
      </c>
      <c r="E12" s="351">
        <v>60</v>
      </c>
      <c r="F12" s="351">
        <v>163</v>
      </c>
      <c r="G12" s="365">
        <v>131</v>
      </c>
      <c r="H12" s="351">
        <v>152</v>
      </c>
      <c r="I12" s="351">
        <v>73</v>
      </c>
      <c r="J12" s="480">
        <v>228</v>
      </c>
      <c r="K12" s="454">
        <v>304</v>
      </c>
      <c r="L12" s="454">
        <v>182</v>
      </c>
      <c r="M12" s="365">
        <v>109</v>
      </c>
      <c r="N12" s="351">
        <v>259</v>
      </c>
      <c r="O12" s="351">
        <v>342</v>
      </c>
      <c r="P12" s="351">
        <v>239</v>
      </c>
      <c r="Q12" s="351">
        <v>96</v>
      </c>
      <c r="R12" s="351">
        <v>259</v>
      </c>
      <c r="S12" s="351">
        <v>300</v>
      </c>
      <c r="T12" s="351">
        <v>234</v>
      </c>
      <c r="U12" s="351">
        <v>81</v>
      </c>
      <c r="V12" s="351">
        <v>259</v>
      </c>
    </row>
    <row r="13" spans="2:23" ht="12" customHeight="1">
      <c r="B13" s="328"/>
      <c r="C13" s="328"/>
      <c r="D13" s="328" t="s">
        <v>280</v>
      </c>
      <c r="E13" s="351">
        <v>57</v>
      </c>
      <c r="F13" s="351">
        <v>205</v>
      </c>
      <c r="G13" s="365">
        <v>40</v>
      </c>
      <c r="H13" s="351">
        <v>44</v>
      </c>
      <c r="I13" s="351">
        <v>37</v>
      </c>
      <c r="J13" s="480">
        <v>53</v>
      </c>
      <c r="K13" s="454">
        <v>15</v>
      </c>
      <c r="L13" s="454">
        <v>9</v>
      </c>
      <c r="M13" s="365">
        <v>6</v>
      </c>
      <c r="N13" s="351">
        <v>6</v>
      </c>
      <c r="O13" s="351">
        <v>4</v>
      </c>
      <c r="P13" s="351">
        <v>2</v>
      </c>
      <c r="Q13" s="351">
        <v>4</v>
      </c>
      <c r="R13" s="351">
        <v>3</v>
      </c>
      <c r="S13" s="351">
        <v>2</v>
      </c>
      <c r="T13" s="351">
        <v>0</v>
      </c>
      <c r="U13" s="351">
        <v>0</v>
      </c>
      <c r="V13" s="351">
        <v>0</v>
      </c>
    </row>
    <row r="14" spans="2:23" ht="12" customHeight="1">
      <c r="B14" s="328"/>
      <c r="C14" s="328"/>
      <c r="D14" s="328" t="s">
        <v>101</v>
      </c>
      <c r="E14" s="351">
        <v>72</v>
      </c>
      <c r="F14" s="351">
        <v>273</v>
      </c>
      <c r="G14" s="365">
        <v>198</v>
      </c>
      <c r="H14" s="351">
        <v>231</v>
      </c>
      <c r="I14" s="351">
        <v>104</v>
      </c>
      <c r="J14" s="480">
        <v>324</v>
      </c>
      <c r="K14" s="454">
        <v>384</v>
      </c>
      <c r="L14" s="454">
        <v>240</v>
      </c>
      <c r="M14" s="365">
        <v>127</v>
      </c>
      <c r="N14" s="351">
        <v>281</v>
      </c>
      <c r="O14" s="351">
        <v>396</v>
      </c>
      <c r="P14" s="351">
        <v>300</v>
      </c>
      <c r="Q14" s="351">
        <v>144</v>
      </c>
      <c r="R14" s="351">
        <v>300</v>
      </c>
      <c r="S14" s="351">
        <v>335</v>
      </c>
      <c r="T14" s="351">
        <v>248</v>
      </c>
      <c r="U14" s="351">
        <v>121</v>
      </c>
      <c r="V14" s="351">
        <v>314</v>
      </c>
    </row>
    <row r="15" spans="2:23" ht="12" customHeight="1">
      <c r="B15" s="328"/>
      <c r="C15" s="328"/>
      <c r="D15" s="328" t="s">
        <v>286</v>
      </c>
      <c r="E15" s="366">
        <v>83</v>
      </c>
      <c r="F15" s="366">
        <v>317</v>
      </c>
      <c r="G15" s="367">
        <v>134</v>
      </c>
      <c r="H15" s="366">
        <v>118</v>
      </c>
      <c r="I15" s="366">
        <v>72</v>
      </c>
      <c r="J15" s="482">
        <v>260</v>
      </c>
      <c r="K15" s="483">
        <v>136</v>
      </c>
      <c r="L15" s="483">
        <v>76</v>
      </c>
      <c r="M15" s="367">
        <v>56</v>
      </c>
      <c r="N15" s="366">
        <v>141</v>
      </c>
      <c r="O15" s="366">
        <v>82</v>
      </c>
      <c r="P15" s="366">
        <v>70</v>
      </c>
      <c r="Q15" s="366">
        <v>33</v>
      </c>
      <c r="R15" s="366">
        <v>166</v>
      </c>
      <c r="S15" s="366">
        <v>51</v>
      </c>
      <c r="T15" s="366">
        <v>32</v>
      </c>
      <c r="U15" s="366">
        <v>25</v>
      </c>
      <c r="V15" s="366">
        <v>183</v>
      </c>
    </row>
    <row r="16" spans="2:23">
      <c r="B16" s="328"/>
      <c r="C16" s="328" t="s">
        <v>222</v>
      </c>
      <c r="D16" s="328"/>
      <c r="E16" s="351">
        <f t="shared" ref="E16:N16" si="0">SUM(E12:E15)</f>
        <v>272</v>
      </c>
      <c r="F16" s="351">
        <f t="shared" si="0"/>
        <v>958</v>
      </c>
      <c r="G16" s="351">
        <f t="shared" si="0"/>
        <v>503</v>
      </c>
      <c r="H16" s="351">
        <f t="shared" si="0"/>
        <v>545</v>
      </c>
      <c r="I16" s="351">
        <f t="shared" si="0"/>
        <v>286</v>
      </c>
      <c r="J16" s="454">
        <f t="shared" si="0"/>
        <v>865</v>
      </c>
      <c r="K16" s="454">
        <f t="shared" si="0"/>
        <v>839</v>
      </c>
      <c r="L16" s="454">
        <f t="shared" si="0"/>
        <v>507</v>
      </c>
      <c r="M16" s="351">
        <f t="shared" si="0"/>
        <v>298</v>
      </c>
      <c r="N16" s="351">
        <f t="shared" si="0"/>
        <v>687</v>
      </c>
      <c r="O16" s="351">
        <f t="shared" ref="O16:T16" si="1">SUM(O12:O15)</f>
        <v>824</v>
      </c>
      <c r="P16" s="351">
        <f t="shared" si="1"/>
        <v>611</v>
      </c>
      <c r="Q16" s="351">
        <f t="shared" si="1"/>
        <v>277</v>
      </c>
      <c r="R16" s="351">
        <f t="shared" si="1"/>
        <v>728</v>
      </c>
      <c r="S16" s="351">
        <f t="shared" si="1"/>
        <v>688</v>
      </c>
      <c r="T16" s="351">
        <f t="shared" si="1"/>
        <v>514</v>
      </c>
      <c r="U16" s="351">
        <f t="shared" ref="U16:V16" si="2">SUM(U12:U15)</f>
        <v>227</v>
      </c>
      <c r="V16" s="351">
        <f t="shared" si="2"/>
        <v>756</v>
      </c>
    </row>
    <row r="17" spans="2:22">
      <c r="B17" s="328"/>
      <c r="C17" s="328"/>
      <c r="D17" s="328" t="s">
        <v>283</v>
      </c>
      <c r="E17" s="351">
        <v>12</v>
      </c>
      <c r="F17" s="351">
        <v>17</v>
      </c>
      <c r="G17" s="365">
        <v>6</v>
      </c>
      <c r="H17" s="351">
        <v>17</v>
      </c>
      <c r="I17" s="351">
        <v>9</v>
      </c>
      <c r="J17" s="480">
        <v>16</v>
      </c>
      <c r="K17" s="454">
        <v>5</v>
      </c>
      <c r="L17" s="454">
        <v>3</v>
      </c>
      <c r="M17" s="365">
        <v>3</v>
      </c>
      <c r="N17" s="351">
        <v>6</v>
      </c>
      <c r="O17" s="351">
        <v>5</v>
      </c>
      <c r="P17" s="351">
        <v>4</v>
      </c>
      <c r="Q17" s="351">
        <v>4</v>
      </c>
      <c r="R17" s="351">
        <v>3</v>
      </c>
      <c r="S17" s="351">
        <v>3</v>
      </c>
      <c r="T17" s="351">
        <v>1</v>
      </c>
      <c r="U17" s="351">
        <v>2</v>
      </c>
      <c r="V17" s="351">
        <v>18</v>
      </c>
    </row>
    <row r="18" spans="2:22">
      <c r="B18" s="328"/>
      <c r="C18" s="328"/>
      <c r="D18" s="328" t="s">
        <v>277</v>
      </c>
      <c r="E18" s="366">
        <v>69</v>
      </c>
      <c r="F18" s="366">
        <v>118</v>
      </c>
      <c r="G18" s="367">
        <v>26</v>
      </c>
      <c r="H18" s="366">
        <v>48</v>
      </c>
      <c r="I18" s="366">
        <v>21</v>
      </c>
      <c r="J18" s="482">
        <v>101</v>
      </c>
      <c r="K18" s="483">
        <v>34</v>
      </c>
      <c r="L18" s="483">
        <v>36</v>
      </c>
      <c r="M18" s="367">
        <v>20</v>
      </c>
      <c r="N18" s="366">
        <v>77</v>
      </c>
      <c r="O18" s="366">
        <v>26</v>
      </c>
      <c r="P18" s="366">
        <v>29</v>
      </c>
      <c r="Q18" s="366">
        <v>15</v>
      </c>
      <c r="R18" s="366">
        <v>82</v>
      </c>
      <c r="S18" s="366">
        <v>23</v>
      </c>
      <c r="T18" s="366">
        <v>17</v>
      </c>
      <c r="U18" s="366">
        <v>18</v>
      </c>
      <c r="V18" s="366">
        <v>82</v>
      </c>
    </row>
    <row r="19" spans="2:22" s="328" customFormat="1">
      <c r="C19" s="328" t="s">
        <v>102</v>
      </c>
      <c r="E19" s="351">
        <f t="shared" ref="E19:U19" si="3">SUM(E17:E18)</f>
        <v>81</v>
      </c>
      <c r="F19" s="351">
        <f t="shared" si="3"/>
        <v>135</v>
      </c>
      <c r="G19" s="351">
        <f t="shared" si="3"/>
        <v>32</v>
      </c>
      <c r="H19" s="351">
        <f t="shared" si="3"/>
        <v>65</v>
      </c>
      <c r="I19" s="351">
        <f t="shared" si="3"/>
        <v>30</v>
      </c>
      <c r="J19" s="454">
        <f t="shared" si="3"/>
        <v>117</v>
      </c>
      <c r="K19" s="454">
        <f t="shared" si="3"/>
        <v>39</v>
      </c>
      <c r="L19" s="454">
        <f t="shared" si="3"/>
        <v>39</v>
      </c>
      <c r="M19" s="351">
        <f t="shared" si="3"/>
        <v>23</v>
      </c>
      <c r="N19" s="351">
        <f t="shared" si="3"/>
        <v>83</v>
      </c>
      <c r="O19" s="351">
        <f t="shared" si="3"/>
        <v>31</v>
      </c>
      <c r="P19" s="351">
        <f t="shared" si="3"/>
        <v>33</v>
      </c>
      <c r="Q19" s="351">
        <f t="shared" si="3"/>
        <v>19</v>
      </c>
      <c r="R19" s="351">
        <f t="shared" si="3"/>
        <v>85</v>
      </c>
      <c r="S19" s="351">
        <f t="shared" si="3"/>
        <v>26</v>
      </c>
      <c r="T19" s="351">
        <f t="shared" si="3"/>
        <v>18</v>
      </c>
      <c r="U19" s="351">
        <f t="shared" si="3"/>
        <v>20</v>
      </c>
      <c r="V19" s="351">
        <f t="shared" ref="V19" si="4">SUM(V17:V18)</f>
        <v>100</v>
      </c>
    </row>
    <row r="20" spans="2:22" s="328" customFormat="1">
      <c r="C20" s="328" t="s">
        <v>103</v>
      </c>
      <c r="E20" s="368">
        <f t="shared" ref="E20:U20" si="5">E10+E11+E16+E19</f>
        <v>649</v>
      </c>
      <c r="F20" s="368">
        <f t="shared" si="5"/>
        <v>1467</v>
      </c>
      <c r="G20" s="368">
        <f t="shared" si="5"/>
        <v>895</v>
      </c>
      <c r="H20" s="368">
        <f t="shared" si="5"/>
        <v>975</v>
      </c>
      <c r="I20" s="368">
        <f t="shared" si="5"/>
        <v>649</v>
      </c>
      <c r="J20" s="484">
        <f t="shared" si="5"/>
        <v>1336</v>
      </c>
      <c r="K20" s="484">
        <f t="shared" si="5"/>
        <v>1237</v>
      </c>
      <c r="L20" s="484">
        <f t="shared" si="5"/>
        <v>916</v>
      </c>
      <c r="M20" s="368">
        <f t="shared" si="5"/>
        <v>683</v>
      </c>
      <c r="N20" s="368">
        <f t="shared" si="5"/>
        <v>1234</v>
      </c>
      <c r="O20" s="368">
        <f t="shared" si="5"/>
        <v>1374</v>
      </c>
      <c r="P20" s="368">
        <f t="shared" si="5"/>
        <v>1083</v>
      </c>
      <c r="Q20" s="368">
        <f t="shared" si="5"/>
        <v>677</v>
      </c>
      <c r="R20" s="368">
        <f t="shared" si="5"/>
        <v>1204</v>
      </c>
      <c r="S20" s="368">
        <f t="shared" si="5"/>
        <v>1107</v>
      </c>
      <c r="T20" s="368">
        <f t="shared" si="5"/>
        <v>1028</v>
      </c>
      <c r="U20" s="368">
        <f t="shared" si="5"/>
        <v>787</v>
      </c>
      <c r="V20" s="368">
        <f t="shared" ref="V20" si="6">V10+V11+V16+V19</f>
        <v>1628</v>
      </c>
    </row>
    <row r="21" spans="2:22" s="328" customFormat="1">
      <c r="E21" s="351"/>
      <c r="F21" s="351"/>
      <c r="G21" s="352"/>
      <c r="H21" s="351"/>
      <c r="I21" s="351"/>
      <c r="J21" s="485"/>
      <c r="K21" s="454"/>
      <c r="L21" s="454"/>
      <c r="M21" s="352"/>
      <c r="N21" s="351"/>
      <c r="O21" s="351"/>
      <c r="P21" s="351"/>
      <c r="Q21" s="351"/>
      <c r="R21" s="351"/>
      <c r="S21" s="351"/>
      <c r="T21" s="351"/>
      <c r="U21" s="351"/>
      <c r="V21" s="351"/>
    </row>
    <row r="22" spans="2:22" s="328" customFormat="1" ht="12.75" customHeight="1">
      <c r="B22" s="328" t="s">
        <v>104</v>
      </c>
      <c r="E22" s="365"/>
      <c r="F22" s="365"/>
      <c r="G22" s="352"/>
      <c r="H22" s="365"/>
      <c r="I22" s="365"/>
      <c r="J22" s="485"/>
      <c r="K22" s="480"/>
      <c r="L22" s="480"/>
      <c r="M22" s="352"/>
      <c r="N22" s="365"/>
      <c r="O22" s="365"/>
      <c r="P22" s="365"/>
      <c r="Q22" s="365"/>
      <c r="R22" s="365"/>
      <c r="S22" s="365"/>
      <c r="T22" s="365"/>
      <c r="U22" s="365"/>
      <c r="V22" s="365"/>
    </row>
    <row r="23" spans="2:22" s="328" customFormat="1">
      <c r="C23" s="328" t="s">
        <v>105</v>
      </c>
      <c r="E23" s="366">
        <v>56</v>
      </c>
      <c r="F23" s="366">
        <v>171</v>
      </c>
      <c r="G23" s="367">
        <v>85</v>
      </c>
      <c r="H23" s="366">
        <v>63</v>
      </c>
      <c r="I23" s="366">
        <v>54</v>
      </c>
      <c r="J23" s="482">
        <v>221</v>
      </c>
      <c r="K23" s="483">
        <v>71</v>
      </c>
      <c r="L23" s="483">
        <v>51</v>
      </c>
      <c r="M23" s="367">
        <v>62</v>
      </c>
      <c r="N23" s="366">
        <v>193</v>
      </c>
      <c r="O23" s="366">
        <v>75</v>
      </c>
      <c r="P23" s="366">
        <v>63</v>
      </c>
      <c r="Q23" s="366">
        <v>77</v>
      </c>
      <c r="R23" s="366">
        <v>203</v>
      </c>
      <c r="S23" s="366">
        <v>65</v>
      </c>
      <c r="T23" s="366">
        <v>47</v>
      </c>
      <c r="U23" s="366">
        <v>54</v>
      </c>
      <c r="V23" s="366">
        <v>140</v>
      </c>
    </row>
    <row r="24" spans="2:22" s="328" customFormat="1">
      <c r="C24" s="328" t="s">
        <v>97</v>
      </c>
      <c r="E24" s="368">
        <f t="shared" ref="E24:N24" si="7">SUM(E20:E23)</f>
        <v>705</v>
      </c>
      <c r="F24" s="368">
        <f t="shared" si="7"/>
        <v>1638</v>
      </c>
      <c r="G24" s="368">
        <f t="shared" si="7"/>
        <v>980</v>
      </c>
      <c r="H24" s="368">
        <f t="shared" si="7"/>
        <v>1038</v>
      </c>
      <c r="I24" s="368">
        <f t="shared" si="7"/>
        <v>703</v>
      </c>
      <c r="J24" s="484">
        <f t="shared" si="7"/>
        <v>1557</v>
      </c>
      <c r="K24" s="484">
        <f t="shared" si="7"/>
        <v>1308</v>
      </c>
      <c r="L24" s="484">
        <f t="shared" si="7"/>
        <v>967</v>
      </c>
      <c r="M24" s="368">
        <f t="shared" si="7"/>
        <v>745</v>
      </c>
      <c r="N24" s="368">
        <f t="shared" si="7"/>
        <v>1427</v>
      </c>
      <c r="O24" s="368">
        <f t="shared" ref="O24:T24" si="8">SUM(O20:O23)</f>
        <v>1449</v>
      </c>
      <c r="P24" s="368">
        <f t="shared" si="8"/>
        <v>1146</v>
      </c>
      <c r="Q24" s="368">
        <f t="shared" si="8"/>
        <v>754</v>
      </c>
      <c r="R24" s="368">
        <f t="shared" si="8"/>
        <v>1407</v>
      </c>
      <c r="S24" s="368">
        <f t="shared" si="8"/>
        <v>1172</v>
      </c>
      <c r="T24" s="368">
        <f t="shared" si="8"/>
        <v>1075</v>
      </c>
      <c r="U24" s="368">
        <f t="shared" ref="U24:V24" si="9">SUM(U20:U23)</f>
        <v>841</v>
      </c>
      <c r="V24" s="368">
        <f t="shared" si="9"/>
        <v>1768</v>
      </c>
    </row>
    <row r="25" spans="2:22" s="328" customFormat="1" ht="4.5" customHeight="1">
      <c r="E25" s="351"/>
      <c r="F25" s="351"/>
      <c r="G25" s="351"/>
      <c r="H25" s="351"/>
      <c r="I25" s="351"/>
      <c r="J25" s="454"/>
      <c r="K25" s="454"/>
      <c r="L25" s="454"/>
      <c r="M25" s="351"/>
      <c r="N25" s="351"/>
      <c r="O25" s="351"/>
      <c r="P25" s="351"/>
      <c r="Q25" s="351"/>
      <c r="R25" s="351"/>
      <c r="S25" s="351"/>
      <c r="T25" s="351"/>
      <c r="U25" s="351"/>
      <c r="V25" s="351"/>
    </row>
    <row r="26" spans="2:22" s="328" customFormat="1">
      <c r="C26" s="328" t="s">
        <v>155</v>
      </c>
      <c r="E26" s="351">
        <v>6</v>
      </c>
      <c r="F26" s="351">
        <v>1</v>
      </c>
      <c r="G26" s="351">
        <v>1</v>
      </c>
      <c r="H26" s="351">
        <v>0</v>
      </c>
      <c r="I26" s="351">
        <v>0</v>
      </c>
      <c r="J26" s="454">
        <v>0</v>
      </c>
      <c r="K26" s="454">
        <v>0</v>
      </c>
      <c r="L26" s="454">
        <v>0</v>
      </c>
      <c r="M26" s="351">
        <v>0</v>
      </c>
      <c r="N26" s="351">
        <v>0</v>
      </c>
      <c r="O26" s="351">
        <v>0</v>
      </c>
      <c r="P26" s="351">
        <v>0</v>
      </c>
      <c r="Q26" s="351">
        <v>0</v>
      </c>
      <c r="R26" s="351">
        <v>0</v>
      </c>
      <c r="S26" s="351">
        <v>0</v>
      </c>
      <c r="T26" s="351">
        <v>0</v>
      </c>
      <c r="U26" s="351">
        <v>0</v>
      </c>
      <c r="V26" s="351">
        <v>0</v>
      </c>
    </row>
    <row r="27" spans="2:22" s="328" customFormat="1" ht="12.75" thickBot="1">
      <c r="C27" s="328" t="s">
        <v>97</v>
      </c>
      <c r="E27" s="395">
        <f>SUM(E24:E26)</f>
        <v>711</v>
      </c>
      <c r="F27" s="395">
        <f t="shared" ref="F27:P27" si="10">SUM(F24:F26)</f>
        <v>1639</v>
      </c>
      <c r="G27" s="395">
        <f t="shared" si="10"/>
        <v>981</v>
      </c>
      <c r="H27" s="395">
        <f t="shared" si="10"/>
        <v>1038</v>
      </c>
      <c r="I27" s="395">
        <f t="shared" si="10"/>
        <v>703</v>
      </c>
      <c r="J27" s="486">
        <f t="shared" si="10"/>
        <v>1557</v>
      </c>
      <c r="K27" s="486">
        <f t="shared" si="10"/>
        <v>1308</v>
      </c>
      <c r="L27" s="486">
        <f t="shared" si="10"/>
        <v>967</v>
      </c>
      <c r="M27" s="395">
        <f t="shared" si="10"/>
        <v>745</v>
      </c>
      <c r="N27" s="395">
        <f t="shared" si="10"/>
        <v>1427</v>
      </c>
      <c r="O27" s="395">
        <f t="shared" si="10"/>
        <v>1449</v>
      </c>
      <c r="P27" s="395">
        <f t="shared" si="10"/>
        <v>1146</v>
      </c>
      <c r="Q27" s="395">
        <f t="shared" ref="Q27:R27" si="11">SUM(Q24:Q26)</f>
        <v>754</v>
      </c>
      <c r="R27" s="395">
        <f t="shared" si="11"/>
        <v>1407</v>
      </c>
      <c r="S27" s="395">
        <f t="shared" ref="S27:T27" si="12">SUM(S24:S26)</f>
        <v>1172</v>
      </c>
      <c r="T27" s="395">
        <f t="shared" si="12"/>
        <v>1075</v>
      </c>
      <c r="U27" s="395">
        <f t="shared" ref="U27:V27" si="13">SUM(U24:U26)</f>
        <v>841</v>
      </c>
      <c r="V27" s="395">
        <f t="shared" si="13"/>
        <v>1768</v>
      </c>
    </row>
    <row r="28" spans="2:22" s="328" customFormat="1">
      <c r="E28" s="351"/>
      <c r="F28" s="351"/>
      <c r="G28" s="351"/>
      <c r="H28" s="351"/>
      <c r="I28" s="351"/>
      <c r="J28" s="454"/>
      <c r="K28" s="454"/>
      <c r="L28" s="454"/>
      <c r="M28" s="351"/>
      <c r="N28" s="351"/>
      <c r="O28" s="351"/>
      <c r="P28" s="351"/>
      <c r="Q28" s="351"/>
      <c r="R28" s="351"/>
      <c r="S28" s="351"/>
      <c r="T28" s="351"/>
      <c r="U28" s="351"/>
      <c r="V28" s="351"/>
    </row>
    <row r="29" spans="2:22" ht="13.5">
      <c r="B29" s="341" t="s">
        <v>196</v>
      </c>
      <c r="C29" s="328"/>
      <c r="D29" s="328"/>
      <c r="E29" s="369"/>
      <c r="F29" s="370"/>
      <c r="G29" s="370"/>
      <c r="H29" s="369"/>
      <c r="I29" s="370"/>
      <c r="J29" s="487"/>
      <c r="K29" s="488"/>
      <c r="L29" s="487"/>
      <c r="M29" s="370"/>
      <c r="N29" s="369"/>
      <c r="O29" s="370"/>
      <c r="P29" s="370"/>
      <c r="Q29" s="370"/>
      <c r="R29" s="370"/>
      <c r="S29" s="370"/>
      <c r="T29" s="370"/>
      <c r="U29" s="370"/>
      <c r="V29" s="370"/>
    </row>
    <row r="30" spans="2:22" s="328" customFormat="1" ht="12" customHeight="1">
      <c r="B30" s="328" t="s">
        <v>99</v>
      </c>
      <c r="E30" s="372"/>
      <c r="F30" s="371"/>
      <c r="G30" s="371"/>
      <c r="H30" s="372"/>
      <c r="I30" s="371"/>
      <c r="J30" s="489"/>
      <c r="K30" s="490"/>
      <c r="L30" s="489"/>
      <c r="M30" s="371"/>
      <c r="N30" s="372"/>
      <c r="O30" s="371"/>
      <c r="P30" s="371"/>
      <c r="Q30" s="371"/>
      <c r="R30" s="371"/>
      <c r="S30" s="371"/>
      <c r="T30" s="371"/>
      <c r="U30" s="371"/>
      <c r="V30" s="371"/>
    </row>
    <row r="31" spans="2:22" s="328" customFormat="1" ht="12" customHeight="1">
      <c r="C31" s="328" t="s">
        <v>109</v>
      </c>
      <c r="E31" s="373"/>
      <c r="F31" s="373">
        <f t="shared" ref="F31:U31" si="14">F44-F10</f>
        <v>138</v>
      </c>
      <c r="G31" s="373">
        <f t="shared" si="14"/>
        <v>-33</v>
      </c>
      <c r="H31" s="373">
        <f t="shared" si="14"/>
        <v>-42</v>
      </c>
      <c r="I31" s="373">
        <f t="shared" si="14"/>
        <v>-31</v>
      </c>
      <c r="J31" s="491">
        <f t="shared" si="14"/>
        <v>12</v>
      </c>
      <c r="K31" s="491">
        <f t="shared" si="14"/>
        <v>-8</v>
      </c>
      <c r="L31" s="491">
        <f t="shared" si="14"/>
        <v>2</v>
      </c>
      <c r="M31" s="373">
        <f t="shared" si="14"/>
        <v>-7</v>
      </c>
      <c r="N31" s="373">
        <f t="shared" si="14"/>
        <v>204</v>
      </c>
      <c r="O31" s="373">
        <f t="shared" si="14"/>
        <v>-56</v>
      </c>
      <c r="P31" s="373">
        <f t="shared" si="14"/>
        <v>-67</v>
      </c>
      <c r="Q31" s="373">
        <f t="shared" si="14"/>
        <v>-62</v>
      </c>
      <c r="R31" s="373">
        <f t="shared" si="14"/>
        <v>-18</v>
      </c>
      <c r="S31" s="373">
        <f t="shared" si="14"/>
        <v>-6</v>
      </c>
      <c r="T31" s="373">
        <f t="shared" si="14"/>
        <v>-21</v>
      </c>
      <c r="U31" s="373">
        <f t="shared" si="14"/>
        <v>119</v>
      </c>
      <c r="V31" s="373">
        <f t="shared" ref="V31" si="15">V44-V10</f>
        <v>-8</v>
      </c>
    </row>
    <row r="32" spans="2:22" s="328" customFormat="1" ht="12" customHeight="1">
      <c r="C32" s="328" t="s">
        <v>273</v>
      </c>
      <c r="E32" s="373"/>
      <c r="F32" s="373">
        <f t="shared" ref="F32:U32" si="16">F45-F11</f>
        <v>32</v>
      </c>
      <c r="G32" s="373">
        <f t="shared" si="16"/>
        <v>-17</v>
      </c>
      <c r="H32" s="373">
        <f t="shared" si="16"/>
        <v>-13</v>
      </c>
      <c r="I32" s="373">
        <f t="shared" si="16"/>
        <v>3</v>
      </c>
      <c r="J32" s="491">
        <f t="shared" si="16"/>
        <v>76</v>
      </c>
      <c r="K32" s="491">
        <f t="shared" si="16"/>
        <v>-24</v>
      </c>
      <c r="L32" s="491">
        <f t="shared" si="16"/>
        <v>-37</v>
      </c>
      <c r="M32" s="373">
        <f t="shared" si="16"/>
        <v>141</v>
      </c>
      <c r="N32" s="373">
        <f t="shared" si="16"/>
        <v>0</v>
      </c>
      <c r="O32" s="373">
        <f t="shared" si="16"/>
        <v>-87</v>
      </c>
      <c r="P32" s="373">
        <f t="shared" si="16"/>
        <v>-35</v>
      </c>
      <c r="Q32" s="373">
        <f t="shared" si="16"/>
        <v>-5</v>
      </c>
      <c r="R32" s="373">
        <f t="shared" si="16"/>
        <v>54</v>
      </c>
      <c r="S32" s="373">
        <f t="shared" si="16"/>
        <v>-23</v>
      </c>
      <c r="T32" s="373">
        <f t="shared" si="16"/>
        <v>314</v>
      </c>
      <c r="U32" s="373">
        <f t="shared" si="16"/>
        <v>-165</v>
      </c>
      <c r="V32" s="373">
        <f t="shared" ref="V32" si="17">V45-V11</f>
        <v>-89</v>
      </c>
    </row>
    <row r="33" spans="2:22" s="328" customFormat="1" ht="10.5" customHeight="1">
      <c r="D33" s="328" t="s">
        <v>100</v>
      </c>
      <c r="E33" s="373"/>
      <c r="F33" s="373">
        <f t="shared" ref="F33:U33" si="18">F46-F12</f>
        <v>169</v>
      </c>
      <c r="G33" s="373">
        <f t="shared" si="18"/>
        <v>-71</v>
      </c>
      <c r="H33" s="373">
        <f t="shared" si="18"/>
        <v>-47</v>
      </c>
      <c r="I33" s="373">
        <f t="shared" si="18"/>
        <v>34</v>
      </c>
      <c r="J33" s="491">
        <f t="shared" si="18"/>
        <v>343</v>
      </c>
      <c r="K33" s="491">
        <f t="shared" si="18"/>
        <v>-222</v>
      </c>
      <c r="L33" s="491">
        <f t="shared" si="18"/>
        <v>-90</v>
      </c>
      <c r="M33" s="373">
        <f t="shared" si="18"/>
        <v>-5</v>
      </c>
      <c r="N33" s="373">
        <f t="shared" si="18"/>
        <v>393</v>
      </c>
      <c r="O33" s="373">
        <f t="shared" si="18"/>
        <v>-244</v>
      </c>
      <c r="P33" s="373">
        <f t="shared" si="18"/>
        <v>-156</v>
      </c>
      <c r="Q33" s="373">
        <f t="shared" si="18"/>
        <v>-18</v>
      </c>
      <c r="R33" s="373">
        <f t="shared" si="18"/>
        <v>453</v>
      </c>
      <c r="S33" s="373">
        <f t="shared" si="18"/>
        <v>-263</v>
      </c>
      <c r="T33" s="373">
        <f t="shared" si="18"/>
        <v>-137</v>
      </c>
      <c r="U33" s="373">
        <f t="shared" si="18"/>
        <v>-12</v>
      </c>
      <c r="V33" s="373">
        <f t="shared" ref="V33" si="19">V46-V12</f>
        <v>441</v>
      </c>
    </row>
    <row r="34" spans="2:22" s="328" customFormat="1" ht="12" customHeight="1">
      <c r="D34" s="328" t="s">
        <v>101</v>
      </c>
      <c r="E34" s="373"/>
      <c r="F34" s="373">
        <f t="shared" ref="F34:U34" si="20">F48-F14</f>
        <v>247</v>
      </c>
      <c r="G34" s="373">
        <f t="shared" si="20"/>
        <v>-92</v>
      </c>
      <c r="H34" s="373">
        <f t="shared" si="20"/>
        <v>-91</v>
      </c>
      <c r="I34" s="373">
        <f t="shared" si="20"/>
        <v>38</v>
      </c>
      <c r="J34" s="491">
        <f t="shared" si="20"/>
        <v>429</v>
      </c>
      <c r="K34" s="491">
        <f t="shared" si="20"/>
        <v>-280</v>
      </c>
      <c r="L34" s="491">
        <f t="shared" si="20"/>
        <v>-119</v>
      </c>
      <c r="M34" s="373">
        <f t="shared" si="20"/>
        <v>-26</v>
      </c>
      <c r="N34" s="373">
        <f t="shared" si="20"/>
        <v>441</v>
      </c>
      <c r="O34" s="373">
        <f t="shared" si="20"/>
        <v>-259</v>
      </c>
      <c r="P34" s="373">
        <f t="shared" si="20"/>
        <v>-146</v>
      </c>
      <c r="Q34" s="373">
        <f t="shared" si="20"/>
        <v>-36</v>
      </c>
      <c r="R34" s="373">
        <f t="shared" si="20"/>
        <v>483</v>
      </c>
      <c r="S34" s="373">
        <f t="shared" si="20"/>
        <v>-277</v>
      </c>
      <c r="T34" s="373">
        <f t="shared" si="20"/>
        <v>-162</v>
      </c>
      <c r="U34" s="373">
        <f t="shared" si="20"/>
        <v>-30</v>
      </c>
      <c r="V34" s="373">
        <f t="shared" ref="V34" si="21">V48-V14</f>
        <v>467</v>
      </c>
    </row>
    <row r="35" spans="2:22" s="328" customFormat="1">
      <c r="D35" s="328" t="s">
        <v>286</v>
      </c>
      <c r="E35" s="373"/>
      <c r="F35" s="373">
        <f t="shared" ref="F35:U35" si="22">F49-F15</f>
        <v>119</v>
      </c>
      <c r="G35" s="373">
        <f t="shared" si="22"/>
        <v>-43</v>
      </c>
      <c r="H35" s="373">
        <f t="shared" si="22"/>
        <v>-44</v>
      </c>
      <c r="I35" s="373">
        <f t="shared" si="22"/>
        <v>8</v>
      </c>
      <c r="J35" s="491">
        <f t="shared" si="22"/>
        <v>78</v>
      </c>
      <c r="K35" s="491">
        <f t="shared" si="22"/>
        <v>-60</v>
      </c>
      <c r="L35" s="491">
        <f t="shared" si="22"/>
        <v>-40</v>
      </c>
      <c r="M35" s="373">
        <f t="shared" si="22"/>
        <v>9</v>
      </c>
      <c r="N35" s="373">
        <f t="shared" si="22"/>
        <v>75</v>
      </c>
      <c r="O35" s="373">
        <f t="shared" si="22"/>
        <v>-46</v>
      </c>
      <c r="P35" s="373">
        <f t="shared" si="22"/>
        <v>-39</v>
      </c>
      <c r="Q35" s="373">
        <f t="shared" si="22"/>
        <v>-5</v>
      </c>
      <c r="R35" s="373">
        <f t="shared" si="22"/>
        <v>24</v>
      </c>
      <c r="S35" s="373">
        <f t="shared" si="22"/>
        <v>-14</v>
      </c>
      <c r="T35" s="373">
        <f t="shared" si="22"/>
        <v>-12</v>
      </c>
      <c r="U35" s="373">
        <f t="shared" si="22"/>
        <v>-2</v>
      </c>
      <c r="V35" s="373">
        <f t="shared" ref="V35" si="23">V49-V15</f>
        <v>16</v>
      </c>
    </row>
    <row r="36" spans="2:22" s="328" customFormat="1">
      <c r="C36" s="328" t="s">
        <v>222</v>
      </c>
      <c r="E36" s="373"/>
      <c r="F36" s="374">
        <f t="shared" ref="F36" si="24">SUM(F33:F35)</f>
        <v>535</v>
      </c>
      <c r="G36" s="374">
        <f t="shared" ref="G36:N36" si="25">SUM(G33:G35)</f>
        <v>-206</v>
      </c>
      <c r="H36" s="374">
        <f t="shared" si="25"/>
        <v>-182</v>
      </c>
      <c r="I36" s="374">
        <f t="shared" si="25"/>
        <v>80</v>
      </c>
      <c r="J36" s="492">
        <f t="shared" si="25"/>
        <v>850</v>
      </c>
      <c r="K36" s="492">
        <f t="shared" si="25"/>
        <v>-562</v>
      </c>
      <c r="L36" s="492">
        <f t="shared" si="25"/>
        <v>-249</v>
      </c>
      <c r="M36" s="374">
        <f t="shared" si="25"/>
        <v>-22</v>
      </c>
      <c r="N36" s="374">
        <f t="shared" si="25"/>
        <v>909</v>
      </c>
      <c r="O36" s="374">
        <f t="shared" ref="O36:T36" si="26">SUM(O33:O35)</f>
        <v>-549</v>
      </c>
      <c r="P36" s="374">
        <f t="shared" si="26"/>
        <v>-341</v>
      </c>
      <c r="Q36" s="374">
        <f t="shared" si="26"/>
        <v>-59</v>
      </c>
      <c r="R36" s="374">
        <f t="shared" si="26"/>
        <v>960</v>
      </c>
      <c r="S36" s="374">
        <f t="shared" si="26"/>
        <v>-554</v>
      </c>
      <c r="T36" s="374">
        <f t="shared" si="26"/>
        <v>-311</v>
      </c>
      <c r="U36" s="374">
        <f t="shared" ref="U36:V36" si="27">SUM(U33:U35)</f>
        <v>-44</v>
      </c>
      <c r="V36" s="374">
        <f t="shared" si="27"/>
        <v>924</v>
      </c>
    </row>
    <row r="37" spans="2:22" s="328" customFormat="1">
      <c r="D37" s="328" t="s">
        <v>277</v>
      </c>
      <c r="E37" s="373"/>
      <c r="F37" s="375">
        <f t="shared" ref="F37:U37" si="28">F52-F18</f>
        <v>0</v>
      </c>
      <c r="G37" s="375">
        <f t="shared" si="28"/>
        <v>0</v>
      </c>
      <c r="H37" s="375">
        <f t="shared" si="28"/>
        <v>0</v>
      </c>
      <c r="I37" s="375">
        <f t="shared" si="28"/>
        <v>0</v>
      </c>
      <c r="J37" s="493">
        <f t="shared" si="28"/>
        <v>0</v>
      </c>
      <c r="K37" s="493">
        <f t="shared" si="28"/>
        <v>0</v>
      </c>
      <c r="L37" s="493">
        <f t="shared" si="28"/>
        <v>0</v>
      </c>
      <c r="M37" s="375">
        <f t="shared" si="28"/>
        <v>0</v>
      </c>
      <c r="N37" s="375">
        <f t="shared" si="28"/>
        <v>8</v>
      </c>
      <c r="O37" s="375">
        <f t="shared" si="28"/>
        <v>-2</v>
      </c>
      <c r="P37" s="375">
        <f t="shared" si="28"/>
        <v>-4</v>
      </c>
      <c r="Q37" s="375">
        <f t="shared" si="28"/>
        <v>-1</v>
      </c>
      <c r="R37" s="375">
        <f t="shared" si="28"/>
        <v>5</v>
      </c>
      <c r="S37" s="375">
        <f t="shared" si="28"/>
        <v>0</v>
      </c>
      <c r="T37" s="375">
        <f t="shared" si="28"/>
        <v>-3</v>
      </c>
      <c r="U37" s="375">
        <f t="shared" si="28"/>
        <v>0</v>
      </c>
      <c r="V37" s="375">
        <f t="shared" ref="V37" si="29">V52-V18</f>
        <v>0</v>
      </c>
    </row>
    <row r="38" spans="2:22" s="328" customFormat="1">
      <c r="C38" s="328" t="s">
        <v>106</v>
      </c>
      <c r="E38" s="373"/>
      <c r="F38" s="375">
        <f t="shared" ref="F38:U38" si="30">F31+F32+F36+F37</f>
        <v>705</v>
      </c>
      <c r="G38" s="375">
        <f t="shared" si="30"/>
        <v>-256</v>
      </c>
      <c r="H38" s="375">
        <f t="shared" si="30"/>
        <v>-237</v>
      </c>
      <c r="I38" s="375">
        <f t="shared" si="30"/>
        <v>52</v>
      </c>
      <c r="J38" s="493">
        <f t="shared" si="30"/>
        <v>938</v>
      </c>
      <c r="K38" s="493">
        <f t="shared" si="30"/>
        <v>-594</v>
      </c>
      <c r="L38" s="493">
        <f t="shared" si="30"/>
        <v>-284</v>
      </c>
      <c r="M38" s="375">
        <f t="shared" si="30"/>
        <v>112</v>
      </c>
      <c r="N38" s="375">
        <f t="shared" si="30"/>
        <v>1121</v>
      </c>
      <c r="O38" s="375">
        <f t="shared" si="30"/>
        <v>-694</v>
      </c>
      <c r="P38" s="375">
        <f t="shared" si="30"/>
        <v>-447</v>
      </c>
      <c r="Q38" s="375">
        <f t="shared" si="30"/>
        <v>-127</v>
      </c>
      <c r="R38" s="375">
        <f t="shared" si="30"/>
        <v>1001</v>
      </c>
      <c r="S38" s="375">
        <f t="shared" si="30"/>
        <v>-583</v>
      </c>
      <c r="T38" s="375">
        <f t="shared" si="30"/>
        <v>-21</v>
      </c>
      <c r="U38" s="375">
        <f t="shared" si="30"/>
        <v>-90</v>
      </c>
      <c r="V38" s="375">
        <f t="shared" ref="V38" si="31">V31+V32+V36+V37</f>
        <v>827</v>
      </c>
    </row>
    <row r="39" spans="2:22" s="328" customFormat="1" ht="4.5" customHeight="1">
      <c r="E39" s="373"/>
      <c r="F39" s="376"/>
      <c r="G39" s="376"/>
      <c r="H39" s="373"/>
      <c r="I39" s="373"/>
      <c r="J39" s="494"/>
      <c r="K39" s="491"/>
      <c r="L39" s="491"/>
      <c r="M39" s="376"/>
      <c r="N39" s="373"/>
      <c r="O39" s="373"/>
      <c r="P39" s="373"/>
      <c r="Q39" s="373"/>
      <c r="R39" s="373"/>
      <c r="S39" s="373"/>
      <c r="T39" s="373"/>
      <c r="U39" s="373"/>
      <c r="V39" s="373"/>
    </row>
    <row r="40" spans="2:22" s="328" customFormat="1">
      <c r="C40" s="328" t="s">
        <v>155</v>
      </c>
      <c r="E40" s="376"/>
      <c r="F40" s="407">
        <f>-F26</f>
        <v>-1</v>
      </c>
      <c r="G40" s="407">
        <f>-G26</f>
        <v>-1</v>
      </c>
      <c r="H40" s="407">
        <f>-H26</f>
        <v>0</v>
      </c>
      <c r="I40" s="407">
        <f>-I26</f>
        <v>0</v>
      </c>
      <c r="J40" s="495">
        <f t="shared" ref="J40:P40" si="32">-J26</f>
        <v>0</v>
      </c>
      <c r="K40" s="495">
        <f t="shared" si="32"/>
        <v>0</v>
      </c>
      <c r="L40" s="495">
        <f t="shared" si="32"/>
        <v>0</v>
      </c>
      <c r="M40" s="407">
        <f t="shared" si="32"/>
        <v>0</v>
      </c>
      <c r="N40" s="407">
        <f t="shared" si="32"/>
        <v>0</v>
      </c>
      <c r="O40" s="407">
        <f t="shared" si="32"/>
        <v>0</v>
      </c>
      <c r="P40" s="407">
        <f t="shared" si="32"/>
        <v>0</v>
      </c>
      <c r="Q40" s="407">
        <f t="shared" ref="Q40:R40" si="33">-Q26</f>
        <v>0</v>
      </c>
      <c r="R40" s="407">
        <f t="shared" si="33"/>
        <v>0</v>
      </c>
      <c r="S40" s="407">
        <f t="shared" ref="S40:T40" si="34">-S26</f>
        <v>0</v>
      </c>
      <c r="T40" s="407">
        <f t="shared" si="34"/>
        <v>0</v>
      </c>
      <c r="U40" s="407">
        <f t="shared" ref="U40:V40" si="35">-U26</f>
        <v>0</v>
      </c>
      <c r="V40" s="407">
        <f t="shared" si="35"/>
        <v>0</v>
      </c>
    </row>
    <row r="41" spans="2:22" s="328" customFormat="1">
      <c r="E41" s="373"/>
      <c r="F41" s="376"/>
      <c r="G41" s="376"/>
      <c r="H41" s="373"/>
      <c r="I41" s="373"/>
      <c r="J41" s="494"/>
      <c r="K41" s="491"/>
      <c r="L41" s="491"/>
      <c r="M41" s="376"/>
      <c r="N41" s="373"/>
      <c r="O41" s="373"/>
      <c r="P41" s="373"/>
      <c r="Q41" s="373"/>
      <c r="R41" s="373"/>
      <c r="S41" s="373"/>
      <c r="T41" s="373"/>
      <c r="U41" s="373"/>
      <c r="V41" s="373"/>
    </row>
    <row r="42" spans="2:22">
      <c r="B42" s="341" t="s">
        <v>107</v>
      </c>
      <c r="C42" s="328"/>
      <c r="D42" s="328"/>
      <c r="E42" s="372"/>
      <c r="F42" s="371"/>
      <c r="G42" s="371"/>
      <c r="H42" s="372"/>
      <c r="I42" s="371"/>
      <c r="J42" s="489"/>
      <c r="K42" s="490"/>
      <c r="L42" s="489"/>
      <c r="M42" s="371"/>
      <c r="N42" s="372"/>
      <c r="O42" s="371"/>
      <c r="P42" s="371"/>
      <c r="Q42" s="371"/>
      <c r="R42" s="371"/>
      <c r="S42" s="371"/>
      <c r="T42" s="371"/>
      <c r="U42" s="371"/>
      <c r="V42" s="371"/>
    </row>
    <row r="43" spans="2:22" s="328" customFormat="1" ht="12" customHeight="1">
      <c r="B43" s="328" t="s">
        <v>99</v>
      </c>
      <c r="E43" s="372"/>
      <c r="F43" s="371"/>
      <c r="G43" s="371"/>
      <c r="H43" s="372"/>
      <c r="I43" s="371"/>
      <c r="J43" s="489"/>
      <c r="K43" s="490"/>
      <c r="L43" s="489"/>
      <c r="M43" s="371"/>
      <c r="N43" s="372"/>
      <c r="O43" s="371"/>
      <c r="P43" s="371"/>
      <c r="Q43" s="371"/>
      <c r="R43" s="371"/>
      <c r="S43" s="371"/>
      <c r="T43" s="371"/>
      <c r="U43" s="371"/>
      <c r="V43" s="371"/>
    </row>
    <row r="44" spans="2:22" s="328" customFormat="1" ht="12" customHeight="1">
      <c r="C44" s="328" t="s">
        <v>109</v>
      </c>
      <c r="E44" s="373"/>
      <c r="F44" s="345">
        <v>464</v>
      </c>
      <c r="G44" s="345">
        <v>286</v>
      </c>
      <c r="H44" s="336">
        <v>285</v>
      </c>
      <c r="I44" s="336">
        <v>275</v>
      </c>
      <c r="J44" s="496">
        <v>320</v>
      </c>
      <c r="K44" s="491">
        <v>302</v>
      </c>
      <c r="L44" s="491">
        <v>293</v>
      </c>
      <c r="M44" s="377">
        <v>282</v>
      </c>
      <c r="N44" s="373">
        <v>544</v>
      </c>
      <c r="O44" s="373">
        <v>339</v>
      </c>
      <c r="P44" s="373">
        <v>292</v>
      </c>
      <c r="Q44" s="373">
        <v>274</v>
      </c>
      <c r="R44" s="373">
        <v>250</v>
      </c>
      <c r="S44" s="373">
        <v>250</v>
      </c>
      <c r="T44" s="373">
        <v>199</v>
      </c>
      <c r="U44" s="373">
        <v>345</v>
      </c>
      <c r="V44" s="373">
        <v>277</v>
      </c>
    </row>
    <row r="45" spans="2:22" s="328" customFormat="1" ht="12" customHeight="1">
      <c r="C45" s="328" t="s">
        <v>273</v>
      </c>
      <c r="E45" s="351"/>
      <c r="F45" s="345">
        <v>80</v>
      </c>
      <c r="G45" s="345">
        <v>24</v>
      </c>
      <c r="H45" s="336">
        <v>25</v>
      </c>
      <c r="I45" s="336">
        <v>30</v>
      </c>
      <c r="J45" s="496">
        <v>122</v>
      </c>
      <c r="K45" s="454">
        <v>25</v>
      </c>
      <c r="L45" s="454">
        <v>42</v>
      </c>
      <c r="M45" s="377">
        <v>214</v>
      </c>
      <c r="N45" s="351">
        <v>124</v>
      </c>
      <c r="O45" s="351">
        <v>37</v>
      </c>
      <c r="P45" s="351">
        <v>45</v>
      </c>
      <c r="Q45" s="351">
        <v>40</v>
      </c>
      <c r="R45" s="351">
        <v>177</v>
      </c>
      <c r="S45" s="351">
        <v>114</v>
      </c>
      <c r="T45" s="351">
        <v>590</v>
      </c>
      <c r="U45" s="351">
        <v>149</v>
      </c>
      <c r="V45" s="351">
        <v>398</v>
      </c>
    </row>
    <row r="46" spans="2:22" s="328" customFormat="1" ht="14.25" customHeight="1">
      <c r="D46" s="328" t="s">
        <v>279</v>
      </c>
      <c r="E46" s="351"/>
      <c r="F46" s="345">
        <v>332</v>
      </c>
      <c r="G46" s="345">
        <v>60</v>
      </c>
      <c r="H46" s="336">
        <v>105</v>
      </c>
      <c r="I46" s="336">
        <v>107</v>
      </c>
      <c r="J46" s="496">
        <v>571</v>
      </c>
      <c r="K46" s="454">
        <v>82</v>
      </c>
      <c r="L46" s="454">
        <v>92</v>
      </c>
      <c r="M46" s="377">
        <v>104</v>
      </c>
      <c r="N46" s="351">
        <v>652</v>
      </c>
      <c r="O46" s="351">
        <v>98</v>
      </c>
      <c r="P46" s="351">
        <v>83</v>
      </c>
      <c r="Q46" s="351">
        <v>78</v>
      </c>
      <c r="R46" s="351">
        <v>712</v>
      </c>
      <c r="S46" s="351">
        <v>37</v>
      </c>
      <c r="T46" s="351">
        <v>97</v>
      </c>
      <c r="U46" s="351">
        <v>69</v>
      </c>
      <c r="V46" s="351">
        <v>700</v>
      </c>
    </row>
    <row r="47" spans="2:22" s="328" customFormat="1" ht="14.25" customHeight="1">
      <c r="D47" s="328" t="s">
        <v>280</v>
      </c>
      <c r="E47" s="351"/>
      <c r="F47" s="345"/>
      <c r="G47" s="345">
        <v>40</v>
      </c>
      <c r="H47" s="336">
        <v>44</v>
      </c>
      <c r="I47" s="336">
        <v>37</v>
      </c>
      <c r="J47" s="496">
        <v>53</v>
      </c>
      <c r="K47" s="454">
        <v>15</v>
      </c>
      <c r="L47" s="454">
        <v>9</v>
      </c>
      <c r="M47" s="377">
        <v>6</v>
      </c>
      <c r="N47" s="351">
        <v>6</v>
      </c>
      <c r="O47" s="351">
        <v>4</v>
      </c>
      <c r="P47" s="351">
        <v>2</v>
      </c>
      <c r="Q47" s="351">
        <v>4</v>
      </c>
      <c r="R47" s="351">
        <v>3</v>
      </c>
      <c r="S47" s="351">
        <v>2</v>
      </c>
      <c r="T47" s="351">
        <v>0</v>
      </c>
      <c r="U47" s="351">
        <v>0</v>
      </c>
      <c r="V47" s="351">
        <v>0</v>
      </c>
    </row>
    <row r="48" spans="2:22" s="328" customFormat="1">
      <c r="D48" s="328" t="s">
        <v>101</v>
      </c>
      <c r="E48" s="351"/>
      <c r="F48" s="345">
        <v>520</v>
      </c>
      <c r="G48" s="345">
        <v>106</v>
      </c>
      <c r="H48" s="336">
        <v>140</v>
      </c>
      <c r="I48" s="336">
        <v>142</v>
      </c>
      <c r="J48" s="496">
        <v>753</v>
      </c>
      <c r="K48" s="454">
        <v>104</v>
      </c>
      <c r="L48" s="454">
        <v>121</v>
      </c>
      <c r="M48" s="377">
        <v>101</v>
      </c>
      <c r="N48" s="351">
        <v>722</v>
      </c>
      <c r="O48" s="351">
        <v>137</v>
      </c>
      <c r="P48" s="351">
        <v>154</v>
      </c>
      <c r="Q48" s="351">
        <v>108</v>
      </c>
      <c r="R48" s="351">
        <v>783</v>
      </c>
      <c r="S48" s="351">
        <v>58</v>
      </c>
      <c r="T48" s="351">
        <v>86</v>
      </c>
      <c r="U48" s="351">
        <v>91</v>
      </c>
      <c r="V48" s="351">
        <v>781</v>
      </c>
    </row>
    <row r="49" spans="2:22" s="328" customFormat="1">
      <c r="D49" s="328" t="s">
        <v>286</v>
      </c>
      <c r="E49" s="351"/>
      <c r="F49" s="406">
        <v>436</v>
      </c>
      <c r="G49" s="406">
        <v>91</v>
      </c>
      <c r="H49" s="338">
        <v>74</v>
      </c>
      <c r="I49" s="338">
        <v>80</v>
      </c>
      <c r="J49" s="497">
        <v>338</v>
      </c>
      <c r="K49" s="483">
        <v>76</v>
      </c>
      <c r="L49" s="483">
        <v>36</v>
      </c>
      <c r="M49" s="378">
        <v>65</v>
      </c>
      <c r="N49" s="366">
        <v>216</v>
      </c>
      <c r="O49" s="366">
        <v>36</v>
      </c>
      <c r="P49" s="366">
        <v>31</v>
      </c>
      <c r="Q49" s="366">
        <v>28</v>
      </c>
      <c r="R49" s="366">
        <v>190</v>
      </c>
      <c r="S49" s="366">
        <v>37</v>
      </c>
      <c r="T49" s="366">
        <v>20</v>
      </c>
      <c r="U49" s="366">
        <v>23</v>
      </c>
      <c r="V49" s="366">
        <v>199</v>
      </c>
    </row>
    <row r="50" spans="2:22" s="328" customFormat="1">
      <c r="C50" s="328" t="s">
        <v>222</v>
      </c>
      <c r="E50" s="351"/>
      <c r="F50" s="336">
        <f t="shared" ref="F50" si="36">SUM(F46:F49)</f>
        <v>1288</v>
      </c>
      <c r="G50" s="336">
        <f t="shared" ref="G50:N50" si="37">SUM(G46:G49)</f>
        <v>297</v>
      </c>
      <c r="H50" s="336">
        <f t="shared" si="37"/>
        <v>363</v>
      </c>
      <c r="I50" s="336">
        <f t="shared" si="37"/>
        <v>366</v>
      </c>
      <c r="J50" s="454">
        <f t="shared" si="37"/>
        <v>1715</v>
      </c>
      <c r="K50" s="454">
        <f t="shared" si="37"/>
        <v>277</v>
      </c>
      <c r="L50" s="454">
        <f t="shared" si="37"/>
        <v>258</v>
      </c>
      <c r="M50" s="351">
        <f t="shared" si="37"/>
        <v>276</v>
      </c>
      <c r="N50" s="351">
        <f t="shared" si="37"/>
        <v>1596</v>
      </c>
      <c r="O50" s="351">
        <f t="shared" ref="O50:T50" si="38">SUM(O46:O49)</f>
        <v>275</v>
      </c>
      <c r="P50" s="351">
        <f t="shared" si="38"/>
        <v>270</v>
      </c>
      <c r="Q50" s="351">
        <f t="shared" si="38"/>
        <v>218</v>
      </c>
      <c r="R50" s="351">
        <f t="shared" si="38"/>
        <v>1688</v>
      </c>
      <c r="S50" s="351">
        <f t="shared" si="38"/>
        <v>134</v>
      </c>
      <c r="T50" s="351">
        <f t="shared" si="38"/>
        <v>203</v>
      </c>
      <c r="U50" s="351">
        <f t="shared" ref="U50:V50" si="39">SUM(U46:U49)</f>
        <v>183</v>
      </c>
      <c r="V50" s="351">
        <f t="shared" si="39"/>
        <v>1680</v>
      </c>
    </row>
    <row r="51" spans="2:22" s="328" customFormat="1">
      <c r="D51" s="328" t="s">
        <v>283</v>
      </c>
      <c r="E51" s="351"/>
      <c r="F51" s="345">
        <v>17</v>
      </c>
      <c r="G51" s="345">
        <v>6</v>
      </c>
      <c r="H51" s="336">
        <v>17</v>
      </c>
      <c r="I51" s="336">
        <v>9</v>
      </c>
      <c r="J51" s="496">
        <v>16</v>
      </c>
      <c r="K51" s="454">
        <v>5</v>
      </c>
      <c r="L51" s="454">
        <v>3</v>
      </c>
      <c r="M51" s="377">
        <v>3</v>
      </c>
      <c r="N51" s="351">
        <v>6</v>
      </c>
      <c r="O51" s="351">
        <v>5</v>
      </c>
      <c r="P51" s="351">
        <v>4</v>
      </c>
      <c r="Q51" s="351">
        <v>4</v>
      </c>
      <c r="R51" s="351">
        <v>3</v>
      </c>
      <c r="S51" s="351">
        <v>3</v>
      </c>
      <c r="T51" s="351">
        <v>1</v>
      </c>
      <c r="U51" s="351">
        <v>2</v>
      </c>
      <c r="V51" s="351">
        <v>18</v>
      </c>
    </row>
    <row r="52" spans="2:22" s="328" customFormat="1">
      <c r="D52" s="328" t="s">
        <v>277</v>
      </c>
      <c r="E52" s="351"/>
      <c r="F52" s="406">
        <v>118</v>
      </c>
      <c r="G52" s="406">
        <v>26</v>
      </c>
      <c r="H52" s="338">
        <v>48</v>
      </c>
      <c r="I52" s="338">
        <v>21</v>
      </c>
      <c r="J52" s="497">
        <v>101</v>
      </c>
      <c r="K52" s="483">
        <v>34</v>
      </c>
      <c r="L52" s="483">
        <v>36</v>
      </c>
      <c r="M52" s="378">
        <v>20</v>
      </c>
      <c r="N52" s="366">
        <v>85</v>
      </c>
      <c r="O52" s="366">
        <v>24</v>
      </c>
      <c r="P52" s="366">
        <v>25</v>
      </c>
      <c r="Q52" s="366">
        <v>14</v>
      </c>
      <c r="R52" s="366">
        <v>87</v>
      </c>
      <c r="S52" s="366">
        <v>23</v>
      </c>
      <c r="T52" s="366">
        <v>14</v>
      </c>
      <c r="U52" s="366">
        <v>18</v>
      </c>
      <c r="V52" s="366">
        <v>82</v>
      </c>
    </row>
    <row r="53" spans="2:22" s="328" customFormat="1">
      <c r="C53" s="328" t="s">
        <v>102</v>
      </c>
      <c r="E53" s="351"/>
      <c r="F53" s="344">
        <f t="shared" ref="F53:U53" si="40">SUM(F51:F52)</f>
        <v>135</v>
      </c>
      <c r="G53" s="344">
        <f t="shared" si="40"/>
        <v>32</v>
      </c>
      <c r="H53" s="344">
        <f t="shared" si="40"/>
        <v>65</v>
      </c>
      <c r="I53" s="344">
        <f t="shared" si="40"/>
        <v>30</v>
      </c>
      <c r="J53" s="498">
        <f t="shared" si="40"/>
        <v>117</v>
      </c>
      <c r="K53" s="498">
        <f t="shared" si="40"/>
        <v>39</v>
      </c>
      <c r="L53" s="498">
        <f t="shared" si="40"/>
        <v>39</v>
      </c>
      <c r="M53" s="330">
        <f t="shared" si="40"/>
        <v>23</v>
      </c>
      <c r="N53" s="330">
        <f t="shared" si="40"/>
        <v>91</v>
      </c>
      <c r="O53" s="330">
        <f t="shared" si="40"/>
        <v>29</v>
      </c>
      <c r="P53" s="330">
        <f t="shared" si="40"/>
        <v>29</v>
      </c>
      <c r="Q53" s="330">
        <f t="shared" si="40"/>
        <v>18</v>
      </c>
      <c r="R53" s="330">
        <f t="shared" si="40"/>
        <v>90</v>
      </c>
      <c r="S53" s="330">
        <f t="shared" si="40"/>
        <v>26</v>
      </c>
      <c r="T53" s="330">
        <f t="shared" si="40"/>
        <v>15</v>
      </c>
      <c r="U53" s="330">
        <f t="shared" si="40"/>
        <v>20</v>
      </c>
      <c r="V53" s="330">
        <f t="shared" ref="V53" si="41">SUM(V51:V52)</f>
        <v>100</v>
      </c>
    </row>
    <row r="54" spans="2:22" s="328" customFormat="1">
      <c r="C54" s="328" t="s">
        <v>108</v>
      </c>
      <c r="E54" s="351"/>
      <c r="F54" s="357">
        <f t="shared" ref="F54:U54" si="42">F44+F45+F50+F53</f>
        <v>1967</v>
      </c>
      <c r="G54" s="357">
        <f t="shared" si="42"/>
        <v>639</v>
      </c>
      <c r="H54" s="357">
        <f t="shared" si="42"/>
        <v>738</v>
      </c>
      <c r="I54" s="357">
        <f t="shared" si="42"/>
        <v>701</v>
      </c>
      <c r="J54" s="484">
        <f t="shared" si="42"/>
        <v>2274</v>
      </c>
      <c r="K54" s="484">
        <f t="shared" si="42"/>
        <v>643</v>
      </c>
      <c r="L54" s="484">
        <f t="shared" si="42"/>
        <v>632</v>
      </c>
      <c r="M54" s="368">
        <f t="shared" si="42"/>
        <v>795</v>
      </c>
      <c r="N54" s="368">
        <f t="shared" si="42"/>
        <v>2355</v>
      </c>
      <c r="O54" s="368">
        <f t="shared" si="42"/>
        <v>680</v>
      </c>
      <c r="P54" s="368">
        <f t="shared" si="42"/>
        <v>636</v>
      </c>
      <c r="Q54" s="368">
        <f t="shared" si="42"/>
        <v>550</v>
      </c>
      <c r="R54" s="368">
        <f t="shared" si="42"/>
        <v>2205</v>
      </c>
      <c r="S54" s="368">
        <f t="shared" si="42"/>
        <v>524</v>
      </c>
      <c r="T54" s="368">
        <f t="shared" si="42"/>
        <v>1007</v>
      </c>
      <c r="U54" s="368">
        <f t="shared" si="42"/>
        <v>697</v>
      </c>
      <c r="V54" s="368">
        <f t="shared" ref="V54" si="43">V44+V45+V50+V53</f>
        <v>2455</v>
      </c>
    </row>
    <row r="55" spans="2:22" s="328" customFormat="1">
      <c r="E55" s="351"/>
      <c r="F55" s="345"/>
      <c r="G55" s="345"/>
      <c r="H55" s="336"/>
      <c r="I55" s="336"/>
      <c r="J55" s="496"/>
      <c r="K55" s="454"/>
      <c r="L55" s="454"/>
      <c r="M55" s="377"/>
      <c r="N55" s="351"/>
      <c r="O55" s="351"/>
      <c r="P55" s="351"/>
      <c r="Q55" s="351"/>
      <c r="R55" s="351"/>
      <c r="S55" s="351"/>
      <c r="T55" s="351"/>
      <c r="U55" s="351"/>
      <c r="V55" s="351"/>
    </row>
    <row r="56" spans="2:22" s="328" customFormat="1">
      <c r="C56" s="328" t="s">
        <v>105</v>
      </c>
      <c r="E56" s="351"/>
      <c r="F56" s="345">
        <v>171</v>
      </c>
      <c r="G56" s="345">
        <v>85</v>
      </c>
      <c r="H56" s="338">
        <v>63</v>
      </c>
      <c r="I56" s="338">
        <v>54</v>
      </c>
      <c r="J56" s="496">
        <v>221</v>
      </c>
      <c r="K56" s="483">
        <v>71</v>
      </c>
      <c r="L56" s="483">
        <v>51</v>
      </c>
      <c r="M56" s="377">
        <v>62</v>
      </c>
      <c r="N56" s="366">
        <v>193</v>
      </c>
      <c r="O56" s="366">
        <v>75</v>
      </c>
      <c r="P56" s="366">
        <v>63</v>
      </c>
      <c r="Q56" s="366">
        <v>77</v>
      </c>
      <c r="R56" s="366">
        <v>203</v>
      </c>
      <c r="S56" s="366">
        <v>65</v>
      </c>
      <c r="T56" s="366">
        <v>47</v>
      </c>
      <c r="U56" s="366">
        <v>54</v>
      </c>
      <c r="V56" s="366">
        <v>140</v>
      </c>
    </row>
    <row r="57" spans="2:22" s="328" customFormat="1" ht="14.25" thickBot="1">
      <c r="C57" s="328" t="s">
        <v>198</v>
      </c>
      <c r="E57" s="398"/>
      <c r="F57" s="342">
        <f t="shared" ref="F57" si="44">F54+F56</f>
        <v>2138</v>
      </c>
      <c r="G57" s="342">
        <f t="shared" ref="G57:N57" si="45">G54+G56</f>
        <v>724</v>
      </c>
      <c r="H57" s="342">
        <f t="shared" si="45"/>
        <v>801</v>
      </c>
      <c r="I57" s="342">
        <f t="shared" si="45"/>
        <v>755</v>
      </c>
      <c r="J57" s="499">
        <f t="shared" si="45"/>
        <v>2495</v>
      </c>
      <c r="K57" s="499">
        <f t="shared" si="45"/>
        <v>714</v>
      </c>
      <c r="L57" s="499">
        <f t="shared" si="45"/>
        <v>683</v>
      </c>
      <c r="M57" s="396">
        <f t="shared" si="45"/>
        <v>857</v>
      </c>
      <c r="N57" s="396">
        <f t="shared" si="45"/>
        <v>2548</v>
      </c>
      <c r="O57" s="396">
        <f t="shared" ref="O57:T57" si="46">O54+O56</f>
        <v>755</v>
      </c>
      <c r="P57" s="396">
        <f t="shared" si="46"/>
        <v>699</v>
      </c>
      <c r="Q57" s="396">
        <f t="shared" si="46"/>
        <v>627</v>
      </c>
      <c r="R57" s="396">
        <f t="shared" si="46"/>
        <v>2408</v>
      </c>
      <c r="S57" s="396">
        <f t="shared" si="46"/>
        <v>589</v>
      </c>
      <c r="T57" s="396">
        <f t="shared" si="46"/>
        <v>1054</v>
      </c>
      <c r="U57" s="396">
        <f t="shared" ref="U57:V57" si="47">U54+U56</f>
        <v>751</v>
      </c>
      <c r="V57" s="396">
        <f t="shared" si="47"/>
        <v>2595</v>
      </c>
    </row>
    <row r="58" spans="2:22" s="328" customFormat="1">
      <c r="E58" s="351"/>
      <c r="F58" s="379"/>
      <c r="G58" s="379"/>
      <c r="H58" s="327"/>
      <c r="I58" s="327"/>
      <c r="J58" s="435"/>
      <c r="K58" s="435"/>
      <c r="L58" s="435"/>
      <c r="M58" s="327"/>
      <c r="N58" s="327"/>
    </row>
    <row r="59" spans="2:22">
      <c r="B59" s="328"/>
      <c r="C59" s="328"/>
      <c r="D59" s="328"/>
      <c r="E59" s="359"/>
      <c r="F59" s="328"/>
      <c r="G59" s="328"/>
    </row>
    <row r="60" spans="2:22" ht="13.5" customHeight="1">
      <c r="B60" s="328"/>
      <c r="C60" s="589" t="s">
        <v>199</v>
      </c>
      <c r="D60" s="589"/>
      <c r="E60" s="589"/>
      <c r="F60" s="589"/>
      <c r="G60" s="589"/>
      <c r="H60" s="589"/>
      <c r="I60" s="589"/>
      <c r="J60" s="589"/>
      <c r="K60" s="589"/>
      <c r="L60" s="589"/>
      <c r="M60" s="589"/>
      <c r="N60" s="589"/>
      <c r="O60" s="589"/>
    </row>
    <row r="61" spans="2:22" ht="13.5">
      <c r="B61" s="328"/>
      <c r="C61" s="360" t="s">
        <v>200</v>
      </c>
      <c r="D61" s="328"/>
      <c r="E61" s="359"/>
      <c r="F61" s="328"/>
      <c r="G61" s="328"/>
    </row>
    <row r="62" spans="2:22" ht="13.5">
      <c r="B62" s="328"/>
      <c r="C62" s="360" t="s">
        <v>274</v>
      </c>
      <c r="D62" s="328"/>
      <c r="E62" s="359"/>
      <c r="F62" s="328"/>
      <c r="G62" s="328"/>
    </row>
    <row r="63" spans="2:22" ht="13.5">
      <c r="B63" s="328"/>
      <c r="C63" s="360" t="s">
        <v>281</v>
      </c>
      <c r="D63" s="328"/>
      <c r="E63" s="359"/>
      <c r="F63" s="328"/>
      <c r="G63" s="328"/>
    </row>
    <row r="64" spans="2:22">
      <c r="B64" s="328"/>
      <c r="C64" s="327" t="s">
        <v>260</v>
      </c>
    </row>
    <row r="65" spans="2:7">
      <c r="B65" s="328"/>
      <c r="C65" s="327" t="s">
        <v>271</v>
      </c>
    </row>
    <row r="66" spans="2:7">
      <c r="B66" s="328"/>
      <c r="C66" s="327" t="s">
        <v>272</v>
      </c>
    </row>
    <row r="67" spans="2:7">
      <c r="B67" s="328"/>
      <c r="C67" s="328" t="s">
        <v>261</v>
      </c>
      <c r="D67" s="328"/>
      <c r="E67" s="359"/>
      <c r="F67" s="328"/>
      <c r="G67" s="328"/>
    </row>
    <row r="68" spans="2:7">
      <c r="B68" s="328"/>
      <c r="C68" s="328"/>
      <c r="D68" s="328"/>
      <c r="E68" s="359"/>
      <c r="F68" s="328"/>
      <c r="G68" s="328"/>
    </row>
    <row r="69" spans="2:7">
      <c r="B69" s="328"/>
      <c r="C69" s="328"/>
      <c r="D69" s="328"/>
      <c r="E69" s="359"/>
      <c r="F69" s="328"/>
      <c r="G69" s="328"/>
    </row>
    <row r="70" spans="2:7" ht="13.5" outlineLevel="1">
      <c r="B70" s="328"/>
      <c r="C70" s="530" t="s">
        <v>238</v>
      </c>
      <c r="D70" s="328"/>
      <c r="E70" s="359"/>
      <c r="F70" s="328"/>
      <c r="G70" s="328"/>
    </row>
    <row r="71" spans="2:7" outlineLevel="1">
      <c r="B71" s="328"/>
      <c r="C71" s="328" t="s">
        <v>232</v>
      </c>
      <c r="D71" s="328"/>
      <c r="E71" s="359"/>
      <c r="F71" s="328"/>
      <c r="G71" s="328"/>
    </row>
    <row r="72" spans="2:7" outlineLevel="1">
      <c r="B72" s="328"/>
      <c r="C72" s="328"/>
      <c r="D72" s="328"/>
      <c r="E72" s="359"/>
      <c r="F72" s="328"/>
      <c r="G72" s="328"/>
    </row>
    <row r="73" spans="2:7">
      <c r="B73" s="328"/>
      <c r="C73" s="328"/>
      <c r="D73" s="328"/>
      <c r="E73" s="359"/>
      <c r="F73" s="328"/>
      <c r="G73" s="328"/>
    </row>
    <row r="74" spans="2:7">
      <c r="B74" s="341"/>
      <c r="C74" s="353"/>
      <c r="D74" s="353"/>
      <c r="E74" s="359"/>
      <c r="F74" s="328"/>
      <c r="G74" s="328"/>
    </row>
    <row r="75" spans="2:7">
      <c r="B75" s="328"/>
      <c r="C75" s="328"/>
      <c r="D75" s="328"/>
      <c r="E75" s="359"/>
      <c r="F75" s="328"/>
      <c r="G75" s="328"/>
    </row>
    <row r="76" spans="2:7">
      <c r="B76" s="328"/>
      <c r="C76" s="328"/>
      <c r="D76" s="328"/>
      <c r="E76" s="359"/>
      <c r="F76" s="328"/>
      <c r="G76" s="328"/>
    </row>
    <row r="77" spans="2:7">
      <c r="B77" s="328"/>
      <c r="C77" s="328"/>
      <c r="D77" s="328"/>
      <c r="E77" s="359"/>
      <c r="F77" s="328"/>
      <c r="G77" s="328"/>
    </row>
    <row r="78" spans="2:7">
      <c r="B78" s="328"/>
      <c r="C78" s="328"/>
      <c r="D78" s="328"/>
      <c r="E78" s="359"/>
      <c r="F78" s="328"/>
      <c r="G78" s="328"/>
    </row>
    <row r="79" spans="2:7">
      <c r="B79" s="328"/>
      <c r="C79" s="328"/>
      <c r="D79" s="328"/>
      <c r="E79" s="359"/>
      <c r="F79" s="328"/>
      <c r="G79" s="328"/>
    </row>
    <row r="80" spans="2:7">
      <c r="B80" s="328"/>
      <c r="C80" s="328"/>
      <c r="D80" s="328"/>
      <c r="E80" s="359"/>
      <c r="F80" s="328"/>
      <c r="G80" s="328"/>
    </row>
    <row r="81" spans="2:7">
      <c r="B81" s="328"/>
      <c r="C81" s="328"/>
      <c r="D81" s="328"/>
      <c r="E81" s="359"/>
      <c r="F81" s="328"/>
      <c r="G81" s="328"/>
    </row>
    <row r="82" spans="2:7">
      <c r="B82" s="328"/>
      <c r="C82" s="328"/>
      <c r="D82" s="328"/>
      <c r="E82" s="359"/>
      <c r="F82" s="328"/>
      <c r="G82" s="328"/>
    </row>
    <row r="83" spans="2:7">
      <c r="B83" s="328"/>
      <c r="C83" s="328"/>
      <c r="D83" s="328"/>
      <c r="E83" s="359"/>
      <c r="F83" s="328"/>
      <c r="G83" s="328"/>
    </row>
    <row r="84" spans="2:7">
      <c r="B84" s="328"/>
      <c r="C84" s="328"/>
      <c r="D84" s="328"/>
      <c r="E84" s="359"/>
      <c r="F84" s="328"/>
      <c r="G84" s="328"/>
    </row>
    <row r="85" spans="2:7">
      <c r="B85" s="328"/>
      <c r="C85" s="328"/>
      <c r="D85" s="328"/>
      <c r="E85" s="359"/>
      <c r="F85" s="328"/>
      <c r="G85" s="328"/>
    </row>
    <row r="86" spans="2:7">
      <c r="B86" s="328"/>
      <c r="C86" s="328"/>
      <c r="D86" s="328"/>
      <c r="E86" s="359"/>
      <c r="F86" s="328"/>
      <c r="G86" s="328"/>
    </row>
    <row r="87" spans="2:7">
      <c r="B87" s="328"/>
      <c r="C87" s="328"/>
      <c r="D87" s="328"/>
      <c r="E87" s="359"/>
      <c r="F87" s="328"/>
      <c r="G87" s="328"/>
    </row>
    <row r="88" spans="2:7">
      <c r="B88" s="328"/>
      <c r="C88" s="328"/>
      <c r="D88" s="328"/>
      <c r="E88" s="359"/>
      <c r="F88" s="328"/>
      <c r="G88" s="328"/>
    </row>
    <row r="89" spans="2:7">
      <c r="B89" s="328"/>
      <c r="C89" s="328"/>
      <c r="D89" s="328"/>
      <c r="E89" s="359"/>
      <c r="F89" s="328"/>
      <c r="G89" s="328"/>
    </row>
    <row r="90" spans="2:7">
      <c r="B90" s="328"/>
      <c r="C90" s="328"/>
      <c r="D90" s="328"/>
      <c r="E90" s="359"/>
      <c r="F90" s="328"/>
      <c r="G90" s="328"/>
    </row>
    <row r="91" spans="2:7">
      <c r="B91" s="328"/>
      <c r="C91" s="328"/>
      <c r="D91" s="328"/>
      <c r="E91" s="359"/>
      <c r="F91" s="328"/>
      <c r="G91" s="328"/>
    </row>
  </sheetData>
  <mergeCells count="4">
    <mergeCell ref="C60:O60"/>
    <mergeCell ref="B1:W1"/>
    <mergeCell ref="B2:W2"/>
    <mergeCell ref="B3:W3"/>
  </mergeCells>
  <pageMargins left="0.7" right="0.7" top="0.25" bottom="0.44" header="0.3" footer="0.3"/>
  <pageSetup scale="52" orientation="landscape" r:id="rId1"/>
  <headerFooter>
    <oddFooter>&amp;LActivision Blizzard, Inc.&amp;R&amp;P of &amp; 17</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4"/>
  <sheetViews>
    <sheetView view="pageBreakPreview" zoomScale="78" zoomScaleNormal="100" zoomScaleSheetLayoutView="78" workbookViewId="0">
      <pane xSplit="2" ySplit="7" topLeftCell="C8" activePane="bottomRight" state="frozen"/>
      <selection activeCell="A19" sqref="A19:R19"/>
      <selection pane="topRight" activeCell="A19" sqref="A19:R19"/>
      <selection pane="bottomLeft" activeCell="A19" sqref="A19:R19"/>
      <selection pane="bottomRight" activeCell="C6" sqref="C6"/>
    </sheetView>
  </sheetViews>
  <sheetFormatPr defaultRowHeight="12" outlineLevelCol="1"/>
  <cols>
    <col min="1" max="1" width="2.85546875" style="71" customWidth="1"/>
    <col min="2" max="2" width="42" style="388" customWidth="1"/>
    <col min="3" max="6" width="9.28515625" style="388" customWidth="1" outlineLevel="1"/>
    <col min="7" max="7" width="10.140625" style="388" customWidth="1" outlineLevel="1"/>
    <col min="8" max="19" width="9.140625" style="71"/>
    <col min="20" max="20" width="1.42578125" style="71" customWidth="1"/>
    <col min="21" max="16384" width="9.140625" style="71"/>
  </cols>
  <sheetData>
    <row r="1" spans="1:22" ht="15" customHeight="1">
      <c r="A1" s="590" t="s">
        <v>163</v>
      </c>
      <c r="B1" s="590"/>
      <c r="C1" s="590"/>
      <c r="D1" s="590"/>
      <c r="E1" s="590"/>
      <c r="F1" s="590"/>
      <c r="G1" s="590"/>
      <c r="H1" s="590"/>
      <c r="I1" s="590"/>
      <c r="J1" s="590"/>
      <c r="K1" s="590"/>
      <c r="L1" s="590"/>
      <c r="M1" s="590"/>
      <c r="N1" s="590"/>
      <c r="O1" s="590"/>
      <c r="P1" s="590"/>
      <c r="Q1" s="590"/>
      <c r="R1" s="590"/>
      <c r="S1" s="590"/>
      <c r="T1" s="590"/>
    </row>
    <row r="2" spans="1:22" ht="15" customHeight="1">
      <c r="A2" s="590" t="s">
        <v>294</v>
      </c>
      <c r="B2" s="590"/>
      <c r="C2" s="590"/>
      <c r="D2" s="590"/>
      <c r="E2" s="590"/>
      <c r="F2" s="590"/>
      <c r="G2" s="590"/>
      <c r="H2" s="590"/>
      <c r="I2" s="590"/>
      <c r="J2" s="590"/>
      <c r="K2" s="590"/>
      <c r="L2" s="590"/>
      <c r="M2" s="590"/>
      <c r="N2" s="590"/>
      <c r="O2" s="590"/>
      <c r="P2" s="590"/>
      <c r="Q2" s="590"/>
      <c r="R2" s="590"/>
      <c r="S2" s="590"/>
      <c r="T2" s="590"/>
    </row>
    <row r="3" spans="1:22" ht="15" customHeight="1">
      <c r="A3" s="590" t="s">
        <v>77</v>
      </c>
      <c r="B3" s="590"/>
      <c r="C3" s="590"/>
      <c r="D3" s="590"/>
      <c r="E3" s="590"/>
      <c r="F3" s="590"/>
      <c r="G3" s="590"/>
      <c r="H3" s="590"/>
      <c r="I3" s="590"/>
      <c r="J3" s="590"/>
      <c r="K3" s="590"/>
      <c r="L3" s="590"/>
      <c r="M3" s="590"/>
      <c r="N3" s="590"/>
      <c r="O3" s="590"/>
      <c r="P3" s="590"/>
      <c r="Q3" s="590"/>
      <c r="R3" s="590"/>
      <c r="S3" s="590"/>
      <c r="T3" s="590"/>
    </row>
    <row r="5" spans="1:22">
      <c r="D5" s="71"/>
      <c r="E5" s="71"/>
      <c r="F5" s="71"/>
      <c r="G5" s="71"/>
    </row>
    <row r="6" spans="1:22" ht="15.75" customHeight="1">
      <c r="B6" s="389"/>
      <c r="C6" s="332" t="s">
        <v>6</v>
      </c>
      <c r="D6" s="332" t="s">
        <v>3</v>
      </c>
      <c r="E6" s="332" t="s">
        <v>4</v>
      </c>
      <c r="F6" s="332" t="s">
        <v>5</v>
      </c>
      <c r="G6" s="332" t="s">
        <v>6</v>
      </c>
      <c r="H6" s="332" t="s">
        <v>3</v>
      </c>
      <c r="I6" s="332" t="s">
        <v>4</v>
      </c>
      <c r="J6" s="332" t="s">
        <v>5</v>
      </c>
      <c r="K6" s="332" t="s">
        <v>6</v>
      </c>
      <c r="L6" s="332" t="s">
        <v>3</v>
      </c>
      <c r="M6" s="332" t="s">
        <v>4</v>
      </c>
      <c r="N6" s="332" t="s">
        <v>5</v>
      </c>
      <c r="O6" s="332" t="s">
        <v>6</v>
      </c>
      <c r="P6" s="332" t="s">
        <v>3</v>
      </c>
      <c r="Q6" s="332" t="s">
        <v>4</v>
      </c>
      <c r="R6" s="332" t="s">
        <v>5</v>
      </c>
      <c r="S6" s="332" t="s">
        <v>6</v>
      </c>
    </row>
    <row r="7" spans="1:22" ht="12.75" thickBot="1">
      <c r="B7" s="389"/>
      <c r="C7" s="332" t="s">
        <v>43</v>
      </c>
      <c r="D7" s="332" t="s">
        <v>44</v>
      </c>
      <c r="E7" s="332" t="s">
        <v>44</v>
      </c>
      <c r="F7" s="332" t="s">
        <v>44</v>
      </c>
      <c r="G7" s="332" t="s">
        <v>44</v>
      </c>
      <c r="H7" s="332" t="s">
        <v>45</v>
      </c>
      <c r="I7" s="332" t="s">
        <v>45</v>
      </c>
      <c r="J7" s="332" t="s">
        <v>45</v>
      </c>
      <c r="K7" s="332" t="s">
        <v>45</v>
      </c>
      <c r="L7" s="332" t="s">
        <v>46</v>
      </c>
      <c r="M7" s="332" t="s">
        <v>46</v>
      </c>
      <c r="N7" s="332" t="s">
        <v>46</v>
      </c>
      <c r="O7" s="332" t="s">
        <v>46</v>
      </c>
      <c r="P7" s="332" t="s">
        <v>266</v>
      </c>
      <c r="Q7" s="332" t="s">
        <v>266</v>
      </c>
      <c r="R7" s="332" t="s">
        <v>266</v>
      </c>
      <c r="S7" s="332" t="s">
        <v>266</v>
      </c>
    </row>
    <row r="8" spans="1:22">
      <c r="B8" s="390" t="s">
        <v>208</v>
      </c>
      <c r="C8" s="391"/>
      <c r="D8" s="391"/>
      <c r="E8" s="391"/>
      <c r="F8" s="391"/>
      <c r="G8" s="391"/>
      <c r="H8" s="391"/>
      <c r="I8" s="391"/>
      <c r="J8" s="391"/>
      <c r="K8" s="391"/>
      <c r="L8" s="391"/>
      <c r="M8" s="391"/>
      <c r="N8" s="391"/>
      <c r="O8" s="391"/>
      <c r="P8" s="391"/>
      <c r="Q8" s="391"/>
      <c r="R8" s="391"/>
      <c r="S8" s="391"/>
    </row>
    <row r="9" spans="1:22">
      <c r="B9" s="392" t="s">
        <v>201</v>
      </c>
      <c r="C9" s="399">
        <v>1151</v>
      </c>
      <c r="D9" s="399">
        <v>596</v>
      </c>
      <c r="E9" s="399">
        <v>676</v>
      </c>
      <c r="F9" s="399">
        <v>351</v>
      </c>
      <c r="G9" s="399">
        <v>1000</v>
      </c>
      <c r="H9" s="399">
        <v>906</v>
      </c>
      <c r="I9" s="399">
        <v>584</v>
      </c>
      <c r="J9" s="399">
        <v>320</v>
      </c>
      <c r="K9" s="399">
        <v>820</v>
      </c>
      <c r="L9" s="399">
        <v>946</v>
      </c>
      <c r="M9" s="399">
        <v>660</v>
      </c>
      <c r="N9" s="399">
        <v>250</v>
      </c>
      <c r="O9" s="399">
        <v>841</v>
      </c>
      <c r="P9" s="399">
        <v>793</v>
      </c>
      <c r="Q9" s="399">
        <v>685</v>
      </c>
      <c r="R9" s="399">
        <v>357</v>
      </c>
      <c r="S9" s="399">
        <v>1177</v>
      </c>
    </row>
    <row r="10" spans="1:22">
      <c r="B10" s="392" t="s">
        <v>202</v>
      </c>
      <c r="C10" s="519">
        <v>316</v>
      </c>
      <c r="D10" s="519">
        <v>300</v>
      </c>
      <c r="E10" s="519">
        <v>299</v>
      </c>
      <c r="F10" s="519">
        <v>298</v>
      </c>
      <c r="G10" s="519">
        <v>336</v>
      </c>
      <c r="H10" s="519">
        <v>331</v>
      </c>
      <c r="I10" s="519">
        <v>332</v>
      </c>
      <c r="J10" s="519">
        <v>363</v>
      </c>
      <c r="K10" s="519">
        <v>414</v>
      </c>
      <c r="L10" s="519">
        <v>428</v>
      </c>
      <c r="M10" s="519">
        <v>423</v>
      </c>
      <c r="N10" s="519">
        <v>427</v>
      </c>
      <c r="O10" s="519">
        <v>363</v>
      </c>
      <c r="P10" s="519">
        <v>314</v>
      </c>
      <c r="Q10" s="519">
        <v>343</v>
      </c>
      <c r="R10" s="519">
        <v>430</v>
      </c>
      <c r="S10" s="519">
        <v>451</v>
      </c>
      <c r="T10" s="531"/>
    </row>
    <row r="11" spans="1:22">
      <c r="B11" s="392" t="s">
        <v>108</v>
      </c>
      <c r="C11" s="400">
        <f t="shared" ref="C11" si="0">+C10+C9</f>
        <v>1467</v>
      </c>
      <c r="D11" s="400">
        <f t="shared" ref="D11:G11" si="1">+D10+D9</f>
        <v>896</v>
      </c>
      <c r="E11" s="400">
        <f t="shared" si="1"/>
        <v>975</v>
      </c>
      <c r="F11" s="400">
        <f t="shared" si="1"/>
        <v>649</v>
      </c>
      <c r="G11" s="400">
        <f t="shared" si="1"/>
        <v>1336</v>
      </c>
      <c r="H11" s="400">
        <f t="shared" ref="H11:N11" si="2">+H10+H9</f>
        <v>1237</v>
      </c>
      <c r="I11" s="400">
        <f t="shared" si="2"/>
        <v>916</v>
      </c>
      <c r="J11" s="400">
        <f t="shared" si="2"/>
        <v>683</v>
      </c>
      <c r="K11" s="400">
        <f t="shared" si="2"/>
        <v>1234</v>
      </c>
      <c r="L11" s="400">
        <f t="shared" si="2"/>
        <v>1374</v>
      </c>
      <c r="M11" s="400">
        <f t="shared" si="2"/>
        <v>1083</v>
      </c>
      <c r="N11" s="400">
        <f t="shared" si="2"/>
        <v>677</v>
      </c>
      <c r="O11" s="400">
        <f t="shared" ref="O11:P11" si="3">+O10+O9</f>
        <v>1204</v>
      </c>
      <c r="P11" s="400">
        <f t="shared" si="3"/>
        <v>1107</v>
      </c>
      <c r="Q11" s="400">
        <f t="shared" ref="Q11:R11" si="4">+Q10+Q9</f>
        <v>1028</v>
      </c>
      <c r="R11" s="400">
        <f t="shared" si="4"/>
        <v>787</v>
      </c>
      <c r="S11" s="400">
        <f t="shared" ref="S11" si="5">+S10+S9</f>
        <v>1628</v>
      </c>
      <c r="T11" s="531"/>
    </row>
    <row r="12" spans="1:22">
      <c r="B12" s="392"/>
      <c r="C12" s="399"/>
      <c r="D12" s="399"/>
      <c r="E12" s="399"/>
      <c r="F12" s="399"/>
      <c r="G12" s="399"/>
      <c r="H12" s="566"/>
      <c r="I12" s="399"/>
      <c r="J12" s="399"/>
      <c r="K12" s="399"/>
      <c r="L12" s="566"/>
      <c r="M12" s="399"/>
      <c r="N12" s="399"/>
      <c r="O12" s="399"/>
      <c r="P12" s="399"/>
      <c r="Q12" s="399"/>
      <c r="R12" s="399"/>
      <c r="S12" s="399"/>
      <c r="T12" s="566"/>
    </row>
    <row r="13" spans="1:22">
      <c r="B13" s="392" t="s">
        <v>203</v>
      </c>
      <c r="C13" s="519">
        <v>171</v>
      </c>
      <c r="D13" s="519">
        <v>85</v>
      </c>
      <c r="E13" s="519">
        <v>63</v>
      </c>
      <c r="F13" s="519">
        <v>54</v>
      </c>
      <c r="G13" s="519">
        <v>221</v>
      </c>
      <c r="H13" s="519">
        <v>71</v>
      </c>
      <c r="I13" s="519">
        <v>51</v>
      </c>
      <c r="J13" s="519">
        <v>62</v>
      </c>
      <c r="K13" s="519">
        <v>193</v>
      </c>
      <c r="L13" s="519">
        <v>75</v>
      </c>
      <c r="M13" s="519">
        <v>63</v>
      </c>
      <c r="N13" s="519">
        <v>77</v>
      </c>
      <c r="O13" s="519">
        <v>203</v>
      </c>
      <c r="P13" s="519">
        <v>65</v>
      </c>
      <c r="Q13" s="519">
        <v>47</v>
      </c>
      <c r="R13" s="519">
        <v>54</v>
      </c>
      <c r="S13" s="519">
        <v>140</v>
      </c>
      <c r="T13" s="531"/>
    </row>
    <row r="14" spans="1:22" ht="12.75" thickBot="1">
      <c r="B14" s="392" t="s">
        <v>94</v>
      </c>
      <c r="C14" s="520">
        <f t="shared" ref="C14" si="6">+C13+C11</f>
        <v>1638</v>
      </c>
      <c r="D14" s="520">
        <f t="shared" ref="D14:G14" si="7">+D13+D11</f>
        <v>981</v>
      </c>
      <c r="E14" s="520">
        <f t="shared" si="7"/>
        <v>1038</v>
      </c>
      <c r="F14" s="520">
        <f t="shared" si="7"/>
        <v>703</v>
      </c>
      <c r="G14" s="520">
        <f t="shared" si="7"/>
        <v>1557</v>
      </c>
      <c r="H14" s="520">
        <f t="shared" ref="H14:N14" si="8">+H13+H11</f>
        <v>1308</v>
      </c>
      <c r="I14" s="520">
        <f t="shared" si="8"/>
        <v>967</v>
      </c>
      <c r="J14" s="520">
        <f t="shared" si="8"/>
        <v>745</v>
      </c>
      <c r="K14" s="520">
        <f t="shared" si="8"/>
        <v>1427</v>
      </c>
      <c r="L14" s="520">
        <f t="shared" si="8"/>
        <v>1449</v>
      </c>
      <c r="M14" s="520">
        <f t="shared" si="8"/>
        <v>1146</v>
      </c>
      <c r="N14" s="520">
        <f t="shared" si="8"/>
        <v>754</v>
      </c>
      <c r="O14" s="520">
        <f t="shared" ref="O14:P14" si="9">+O13+O11</f>
        <v>1407</v>
      </c>
      <c r="P14" s="520">
        <f t="shared" si="9"/>
        <v>1172</v>
      </c>
      <c r="Q14" s="520">
        <f t="shared" ref="Q14:R14" si="10">+Q13+Q11</f>
        <v>1075</v>
      </c>
      <c r="R14" s="520">
        <f t="shared" si="10"/>
        <v>841</v>
      </c>
      <c r="S14" s="520">
        <f t="shared" ref="S14" si="11">+S13+S11</f>
        <v>1768</v>
      </c>
      <c r="T14" s="531"/>
    </row>
    <row r="15" spans="1:22" ht="14.25">
      <c r="B15" s="392"/>
      <c r="C15" s="400"/>
      <c r="D15" s="400"/>
      <c r="E15" s="400"/>
      <c r="F15" s="537"/>
      <c r="G15" s="400"/>
      <c r="H15" s="566"/>
      <c r="I15" s="566"/>
      <c r="J15" s="537"/>
      <c r="K15" s="400"/>
      <c r="L15" s="566"/>
      <c r="M15" s="400"/>
      <c r="N15" s="537"/>
      <c r="O15" s="537"/>
      <c r="P15" s="537"/>
      <c r="Q15" s="537"/>
      <c r="R15" s="537"/>
      <c r="S15" s="537"/>
      <c r="T15" s="566"/>
    </row>
    <row r="16" spans="1:22">
      <c r="B16" s="390" t="s">
        <v>210</v>
      </c>
      <c r="C16" s="399"/>
      <c r="D16" s="399"/>
      <c r="E16" s="399"/>
      <c r="F16" s="399"/>
      <c r="G16" s="539"/>
      <c r="H16" s="399"/>
      <c r="I16" s="399"/>
      <c r="J16" s="399"/>
      <c r="K16" s="539"/>
      <c r="L16" s="399"/>
      <c r="M16" s="399"/>
      <c r="N16" s="399"/>
      <c r="O16" s="399"/>
      <c r="P16" s="399"/>
      <c r="Q16" s="399"/>
      <c r="R16" s="399"/>
      <c r="S16" s="399"/>
      <c r="T16" s="531"/>
      <c r="V16" s="531"/>
    </row>
    <row r="17" spans="2:24">
      <c r="B17" s="392" t="s">
        <v>201</v>
      </c>
      <c r="C17" s="399">
        <f t="shared" ref="C17" si="12">C22-C9</f>
        <v>700</v>
      </c>
      <c r="D17" s="399">
        <f t="shared" ref="D17:G17" si="13">D22-D9</f>
        <v>-271</v>
      </c>
      <c r="E17" s="399">
        <f t="shared" si="13"/>
        <v>-244</v>
      </c>
      <c r="F17" s="399">
        <f t="shared" si="13"/>
        <v>37</v>
      </c>
      <c r="G17" s="399">
        <f t="shared" si="13"/>
        <v>933</v>
      </c>
      <c r="H17" s="399">
        <f t="shared" ref="H17:J18" si="14">H22-H9</f>
        <v>-600</v>
      </c>
      <c r="I17" s="399">
        <f t="shared" si="14"/>
        <v>-327</v>
      </c>
      <c r="J17" s="399">
        <f t="shared" si="14"/>
        <v>112</v>
      </c>
      <c r="K17" s="399">
        <f t="shared" ref="K17" si="15">K22-K9</f>
        <v>1065</v>
      </c>
      <c r="L17" s="399">
        <f t="shared" ref="L17:N17" si="16">L22-L9</f>
        <v>-706</v>
      </c>
      <c r="M17" s="399">
        <f t="shared" si="16"/>
        <v>-448</v>
      </c>
      <c r="N17" s="399">
        <f t="shared" si="16"/>
        <v>-86</v>
      </c>
      <c r="O17" s="399">
        <f t="shared" ref="O17:P17" si="17">O22-O9</f>
        <v>1055</v>
      </c>
      <c r="P17" s="399">
        <f t="shared" si="17"/>
        <v>-569</v>
      </c>
      <c r="Q17" s="399">
        <f t="shared" ref="Q17:R17" si="18">Q22-Q9</f>
        <v>-175</v>
      </c>
      <c r="R17" s="399">
        <f t="shared" si="18"/>
        <v>-87</v>
      </c>
      <c r="S17" s="399">
        <f t="shared" ref="S17" si="19">S22-S9</f>
        <v>900</v>
      </c>
      <c r="T17" s="531"/>
      <c r="V17" s="531"/>
      <c r="X17" s="531"/>
    </row>
    <row r="18" spans="2:24">
      <c r="B18" s="392" t="s">
        <v>202</v>
      </c>
      <c r="C18" s="400">
        <f t="shared" ref="C18" si="20">C23-C10</f>
        <v>5</v>
      </c>
      <c r="D18" s="400">
        <f t="shared" ref="D18:G18" si="21">D23-D10</f>
        <v>14</v>
      </c>
      <c r="E18" s="400">
        <f t="shared" si="21"/>
        <v>7</v>
      </c>
      <c r="F18" s="400">
        <f t="shared" si="21"/>
        <v>15</v>
      </c>
      <c r="G18" s="400">
        <f t="shared" si="21"/>
        <v>5</v>
      </c>
      <c r="H18" s="400">
        <f t="shared" si="14"/>
        <v>6</v>
      </c>
      <c r="I18" s="400">
        <f t="shared" si="14"/>
        <v>43</v>
      </c>
      <c r="J18" s="400">
        <f t="shared" si="14"/>
        <v>0</v>
      </c>
      <c r="K18" s="400">
        <f t="shared" ref="K18" si="22">K23-K10</f>
        <v>56</v>
      </c>
      <c r="L18" s="400">
        <f t="shared" ref="L18:N18" si="23">L23-L10</f>
        <v>12</v>
      </c>
      <c r="M18" s="400">
        <f t="shared" si="23"/>
        <v>1</v>
      </c>
      <c r="N18" s="400">
        <f t="shared" si="23"/>
        <v>-41</v>
      </c>
      <c r="O18" s="400">
        <f t="shared" ref="O18:P18" si="24">O23-O10</f>
        <v>-54</v>
      </c>
      <c r="P18" s="400">
        <f t="shared" si="24"/>
        <v>-16</v>
      </c>
      <c r="Q18" s="400">
        <f t="shared" ref="Q18:R18" si="25">Q23-Q10</f>
        <v>154</v>
      </c>
      <c r="R18" s="400">
        <f t="shared" si="25"/>
        <v>-3</v>
      </c>
      <c r="S18" s="400">
        <f t="shared" ref="S18" si="26">S23-S10</f>
        <v>-73</v>
      </c>
      <c r="T18" s="531"/>
      <c r="V18" s="531"/>
      <c r="X18" s="531"/>
    </row>
    <row r="19" spans="2:24">
      <c r="B19" s="392" t="s">
        <v>204</v>
      </c>
      <c r="C19" s="401">
        <f t="shared" ref="C19" si="27">SUM(C17:C18)</f>
        <v>705</v>
      </c>
      <c r="D19" s="401">
        <f t="shared" ref="D19:G19" si="28">SUM(D17:D18)</f>
        <v>-257</v>
      </c>
      <c r="E19" s="401">
        <f t="shared" si="28"/>
        <v>-237</v>
      </c>
      <c r="F19" s="401">
        <f t="shared" si="28"/>
        <v>52</v>
      </c>
      <c r="G19" s="401">
        <f t="shared" si="28"/>
        <v>938</v>
      </c>
      <c r="H19" s="401">
        <f t="shared" ref="H19:N19" si="29">SUM(H17:H18)</f>
        <v>-594</v>
      </c>
      <c r="I19" s="401">
        <f t="shared" si="29"/>
        <v>-284</v>
      </c>
      <c r="J19" s="401">
        <f t="shared" si="29"/>
        <v>112</v>
      </c>
      <c r="K19" s="401">
        <f t="shared" si="29"/>
        <v>1121</v>
      </c>
      <c r="L19" s="401">
        <f t="shared" si="29"/>
        <v>-694</v>
      </c>
      <c r="M19" s="401">
        <f t="shared" si="29"/>
        <v>-447</v>
      </c>
      <c r="N19" s="401">
        <f t="shared" si="29"/>
        <v>-127</v>
      </c>
      <c r="O19" s="401">
        <f t="shared" ref="O19:P19" si="30">SUM(O17:O18)</f>
        <v>1001</v>
      </c>
      <c r="P19" s="401">
        <f t="shared" si="30"/>
        <v>-585</v>
      </c>
      <c r="Q19" s="401">
        <f t="shared" ref="Q19:R19" si="31">SUM(Q17:Q18)</f>
        <v>-21</v>
      </c>
      <c r="R19" s="401">
        <f t="shared" si="31"/>
        <v>-90</v>
      </c>
      <c r="S19" s="401">
        <f t="shared" ref="S19" si="32">SUM(S17:S18)</f>
        <v>827</v>
      </c>
      <c r="T19" s="531"/>
      <c r="X19" s="531"/>
    </row>
    <row r="20" spans="2:24">
      <c r="B20" s="392"/>
      <c r="C20" s="400"/>
      <c r="D20" s="400"/>
      <c r="E20" s="400"/>
      <c r="F20" s="400"/>
      <c r="G20" s="400"/>
      <c r="H20" s="400"/>
      <c r="I20" s="400"/>
      <c r="J20" s="400"/>
      <c r="K20" s="400"/>
      <c r="L20" s="400"/>
      <c r="M20" s="400"/>
      <c r="N20" s="400"/>
      <c r="O20" s="400"/>
      <c r="P20" s="400"/>
      <c r="Q20" s="400"/>
      <c r="R20" s="400"/>
      <c r="S20" s="400"/>
      <c r="T20" s="531"/>
    </row>
    <row r="21" spans="2:24">
      <c r="B21" s="390" t="s">
        <v>209</v>
      </c>
      <c r="C21" s="399"/>
      <c r="D21" s="399"/>
      <c r="E21" s="399"/>
      <c r="F21" s="399"/>
      <c r="G21" s="399"/>
      <c r="H21" s="399"/>
      <c r="I21" s="399"/>
      <c r="J21" s="399"/>
      <c r="K21" s="399"/>
      <c r="L21" s="399"/>
      <c r="M21" s="399"/>
      <c r="N21" s="399"/>
      <c r="O21" s="399"/>
      <c r="P21" s="399"/>
      <c r="Q21" s="399"/>
      <c r="R21" s="399"/>
      <c r="S21" s="399"/>
      <c r="T21" s="531"/>
    </row>
    <row r="22" spans="2:24">
      <c r="B22" s="392" t="s">
        <v>201</v>
      </c>
      <c r="C22" s="399">
        <v>1851</v>
      </c>
      <c r="D22" s="399">
        <v>325</v>
      </c>
      <c r="E22" s="399">
        <v>432</v>
      </c>
      <c r="F22" s="399">
        <v>388</v>
      </c>
      <c r="G22" s="399">
        <v>1933</v>
      </c>
      <c r="H22" s="399">
        <f>304+2</f>
        <v>306</v>
      </c>
      <c r="I22" s="399">
        <f>258-1</f>
        <v>257</v>
      </c>
      <c r="J22" s="399">
        <v>432</v>
      </c>
      <c r="K22" s="399">
        <f>1879+6</f>
        <v>1885</v>
      </c>
      <c r="L22" s="399">
        <v>240</v>
      </c>
      <c r="M22" s="399">
        <v>212</v>
      </c>
      <c r="N22" s="399">
        <v>164</v>
      </c>
      <c r="O22" s="399">
        <v>1896</v>
      </c>
      <c r="P22" s="399">
        <v>224</v>
      </c>
      <c r="Q22" s="399">
        <v>510</v>
      </c>
      <c r="R22" s="399">
        <v>270</v>
      </c>
      <c r="S22" s="399">
        <v>2077</v>
      </c>
      <c r="T22" s="531"/>
    </row>
    <row r="23" spans="2:24">
      <c r="B23" s="392" t="s">
        <v>202</v>
      </c>
      <c r="C23" s="519">
        <v>321</v>
      </c>
      <c r="D23" s="519">
        <v>314</v>
      </c>
      <c r="E23" s="519">
        <v>306</v>
      </c>
      <c r="F23" s="519">
        <v>313</v>
      </c>
      <c r="G23" s="519">
        <v>341</v>
      </c>
      <c r="H23" s="519">
        <f>339-2</f>
        <v>337</v>
      </c>
      <c r="I23" s="519">
        <f>374+1</f>
        <v>375</v>
      </c>
      <c r="J23" s="519">
        <v>363</v>
      </c>
      <c r="K23" s="519">
        <f>476-6</f>
        <v>470</v>
      </c>
      <c r="L23" s="519">
        <v>440</v>
      </c>
      <c r="M23" s="519">
        <v>424</v>
      </c>
      <c r="N23" s="519">
        <v>386</v>
      </c>
      <c r="O23" s="519">
        <v>309</v>
      </c>
      <c r="P23" s="519">
        <v>298</v>
      </c>
      <c r="Q23" s="519">
        <v>497</v>
      </c>
      <c r="R23" s="519">
        <v>427</v>
      </c>
      <c r="S23" s="519">
        <v>378</v>
      </c>
      <c r="T23" s="531"/>
    </row>
    <row r="24" spans="2:24">
      <c r="B24" s="392" t="s">
        <v>108</v>
      </c>
      <c r="C24" s="400">
        <f t="shared" ref="C24" si="33">+C23+C22</f>
        <v>2172</v>
      </c>
      <c r="D24" s="400">
        <f t="shared" ref="D24:G24" si="34">+D23+D22</f>
        <v>639</v>
      </c>
      <c r="E24" s="400">
        <f t="shared" si="34"/>
        <v>738</v>
      </c>
      <c r="F24" s="400">
        <f t="shared" si="34"/>
        <v>701</v>
      </c>
      <c r="G24" s="400">
        <f t="shared" si="34"/>
        <v>2274</v>
      </c>
      <c r="H24" s="400">
        <f t="shared" ref="H24:N24" si="35">+H23+H22</f>
        <v>643</v>
      </c>
      <c r="I24" s="400">
        <f t="shared" si="35"/>
        <v>632</v>
      </c>
      <c r="J24" s="400">
        <f t="shared" si="35"/>
        <v>795</v>
      </c>
      <c r="K24" s="400">
        <f t="shared" si="35"/>
        <v>2355</v>
      </c>
      <c r="L24" s="400">
        <f t="shared" si="35"/>
        <v>680</v>
      </c>
      <c r="M24" s="400">
        <f t="shared" si="35"/>
        <v>636</v>
      </c>
      <c r="N24" s="400">
        <f t="shared" si="35"/>
        <v>550</v>
      </c>
      <c r="O24" s="400">
        <f t="shared" ref="O24:P24" si="36">+O23+O22</f>
        <v>2205</v>
      </c>
      <c r="P24" s="400">
        <f t="shared" si="36"/>
        <v>522</v>
      </c>
      <c r="Q24" s="400">
        <f t="shared" ref="Q24:R24" si="37">+Q23+Q22</f>
        <v>1007</v>
      </c>
      <c r="R24" s="400">
        <f t="shared" si="37"/>
        <v>697</v>
      </c>
      <c r="S24" s="400">
        <f t="shared" ref="S24" si="38">+S23+S22</f>
        <v>2455</v>
      </c>
      <c r="T24" s="531"/>
    </row>
    <row r="25" spans="2:24">
      <c r="B25" s="392"/>
      <c r="C25" s="399"/>
      <c r="D25" s="399"/>
      <c r="E25" s="399"/>
      <c r="F25" s="399"/>
      <c r="G25" s="399"/>
      <c r="H25" s="566"/>
      <c r="I25" s="399"/>
      <c r="J25" s="399"/>
      <c r="K25" s="399"/>
      <c r="L25" s="566"/>
      <c r="M25" s="399"/>
      <c r="N25" s="399"/>
      <c r="O25" s="399"/>
      <c r="P25" s="399"/>
      <c r="Q25" s="399"/>
      <c r="R25" s="399"/>
      <c r="S25" s="399"/>
      <c r="T25" s="566"/>
    </row>
    <row r="26" spans="2:24">
      <c r="B26" s="392" t="s">
        <v>203</v>
      </c>
      <c r="C26" s="400">
        <v>171</v>
      </c>
      <c r="D26" s="400">
        <v>85</v>
      </c>
      <c r="E26" s="400">
        <v>63</v>
      </c>
      <c r="F26" s="400">
        <v>54</v>
      </c>
      <c r="G26" s="400">
        <v>221</v>
      </c>
      <c r="H26" s="400">
        <v>71</v>
      </c>
      <c r="I26" s="400">
        <v>51</v>
      </c>
      <c r="J26" s="400">
        <v>62</v>
      </c>
      <c r="K26" s="400">
        <v>193</v>
      </c>
      <c r="L26" s="400">
        <v>75</v>
      </c>
      <c r="M26" s="400">
        <v>63</v>
      </c>
      <c r="N26" s="400">
        <v>77</v>
      </c>
      <c r="O26" s="400">
        <v>203</v>
      </c>
      <c r="P26" s="400">
        <v>65</v>
      </c>
      <c r="Q26" s="400">
        <v>47</v>
      </c>
      <c r="R26" s="400">
        <v>54</v>
      </c>
      <c r="S26" s="400">
        <v>140</v>
      </c>
    </row>
    <row r="27" spans="2:24" ht="12.75" thickBot="1">
      <c r="B27" s="392" t="s">
        <v>205</v>
      </c>
      <c r="C27" s="520">
        <f t="shared" ref="C27" si="39">+C26+C24</f>
        <v>2343</v>
      </c>
      <c r="D27" s="520">
        <f t="shared" ref="D27:G27" si="40">+D26+D24</f>
        <v>724</v>
      </c>
      <c r="E27" s="520">
        <f t="shared" si="40"/>
        <v>801</v>
      </c>
      <c r="F27" s="520">
        <f t="shared" si="40"/>
        <v>755</v>
      </c>
      <c r="G27" s="520">
        <f t="shared" si="40"/>
        <v>2495</v>
      </c>
      <c r="H27" s="520">
        <f t="shared" ref="H27:N27" si="41">+H26+H24</f>
        <v>714</v>
      </c>
      <c r="I27" s="520">
        <f t="shared" si="41"/>
        <v>683</v>
      </c>
      <c r="J27" s="520">
        <f t="shared" si="41"/>
        <v>857</v>
      </c>
      <c r="K27" s="520">
        <f t="shared" si="41"/>
        <v>2548</v>
      </c>
      <c r="L27" s="520">
        <f t="shared" si="41"/>
        <v>755</v>
      </c>
      <c r="M27" s="520">
        <f t="shared" si="41"/>
        <v>699</v>
      </c>
      <c r="N27" s="520">
        <f t="shared" si="41"/>
        <v>627</v>
      </c>
      <c r="O27" s="520">
        <f t="shared" ref="O27:P27" si="42">+O26+O24</f>
        <v>2408</v>
      </c>
      <c r="P27" s="520">
        <f t="shared" si="42"/>
        <v>587</v>
      </c>
      <c r="Q27" s="520">
        <f t="shared" ref="Q27:R27" si="43">+Q26+Q24</f>
        <v>1054</v>
      </c>
      <c r="R27" s="520">
        <f t="shared" si="43"/>
        <v>751</v>
      </c>
      <c r="S27" s="520">
        <f t="shared" ref="S27" si="44">+S26+S24</f>
        <v>2595</v>
      </c>
    </row>
    <row r="28" spans="2:24" ht="14.25">
      <c r="F28" s="538"/>
      <c r="G28" s="536"/>
      <c r="H28" s="566"/>
      <c r="I28" s="536"/>
      <c r="J28" s="538"/>
      <c r="K28" s="536"/>
      <c r="L28" s="566"/>
      <c r="M28" s="536"/>
      <c r="N28" s="538"/>
      <c r="O28" s="538"/>
      <c r="P28" s="538"/>
      <c r="Q28" s="538"/>
      <c r="R28" s="538"/>
      <c r="S28" s="538"/>
      <c r="T28" s="566"/>
    </row>
    <row r="29" spans="2:24">
      <c r="H29" s="393"/>
      <c r="L29" s="532"/>
      <c r="N29" s="532"/>
      <c r="O29" s="532"/>
      <c r="P29" s="532"/>
      <c r="Q29" s="532"/>
      <c r="R29" s="532"/>
      <c r="S29" s="532"/>
    </row>
    <row r="30" spans="2:24">
      <c r="B30" s="388" t="s">
        <v>206</v>
      </c>
      <c r="F30" s="541"/>
      <c r="G30" s="542"/>
      <c r="J30" s="541"/>
      <c r="K30" s="542"/>
      <c r="N30" s="541"/>
      <c r="O30" s="541"/>
      <c r="P30" s="541"/>
      <c r="Q30" s="541"/>
      <c r="R30" s="541"/>
      <c r="S30" s="541"/>
    </row>
    <row r="31" spans="2:24">
      <c r="B31" s="388" t="s">
        <v>207</v>
      </c>
      <c r="W31" s="531"/>
    </row>
    <row r="32" spans="2:24">
      <c r="B32" s="388" t="s">
        <v>258</v>
      </c>
      <c r="W32" s="531"/>
    </row>
    <row r="33" spans="2:23">
      <c r="B33" s="388" t="s">
        <v>259</v>
      </c>
      <c r="W33" s="531"/>
    </row>
    <row r="34" spans="2:23">
      <c r="W34" s="531"/>
    </row>
  </sheetData>
  <mergeCells count="3">
    <mergeCell ref="A1:T1"/>
    <mergeCell ref="A2:T2"/>
    <mergeCell ref="A3:T3"/>
  </mergeCells>
  <pageMargins left="0.7" right="0.7" top="0.25" bottom="0.44" header="0.3" footer="0.3"/>
  <pageSetup scale="60" orientation="landscape" r:id="rId1"/>
  <headerFooter>
    <oddFooter>&amp;LActivision Blizzard, Inc.&amp;R&amp;P of &amp; 17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50"/>
  <sheetViews>
    <sheetView showGridLines="0" view="pageBreakPreview" zoomScale="90" zoomScaleNormal="100" zoomScaleSheetLayoutView="90" workbookViewId="0">
      <pane xSplit="2" ySplit="7" topLeftCell="C8" activePane="bottomRight" state="frozen"/>
      <selection activeCell="A19" sqref="A19:R19"/>
      <selection pane="topRight" activeCell="A19" sqref="A19:R19"/>
      <selection pane="bottomLeft" activeCell="A19" sqref="A19:R19"/>
      <selection pane="bottomRight" activeCell="A2" sqref="A2:U2"/>
    </sheetView>
  </sheetViews>
  <sheetFormatPr defaultRowHeight="12" outlineLevelCol="1"/>
  <cols>
    <col min="1" max="1" width="6.5703125" style="500" customWidth="1"/>
    <col min="2" max="2" width="45.5703125" style="500" customWidth="1"/>
    <col min="3" max="8" width="10.28515625" style="515" customWidth="1" outlineLevel="1"/>
    <col min="9" max="13" width="10.28515625" style="515" customWidth="1"/>
    <col min="14" max="20" width="10.7109375" style="516" customWidth="1"/>
    <col min="21" max="21" width="1.7109375" style="500" customWidth="1"/>
    <col min="22" max="16384" width="9.140625" style="500"/>
  </cols>
  <sheetData>
    <row r="1" spans="1:41" collapsed="1">
      <c r="A1" s="591" t="s">
        <v>42</v>
      </c>
      <c r="B1" s="591"/>
      <c r="C1" s="591"/>
      <c r="D1" s="591"/>
      <c r="E1" s="591"/>
      <c r="F1" s="591"/>
      <c r="G1" s="591"/>
      <c r="H1" s="591"/>
      <c r="I1" s="591"/>
      <c r="J1" s="591"/>
      <c r="K1" s="591"/>
      <c r="L1" s="591"/>
      <c r="M1" s="591"/>
      <c r="N1" s="591"/>
      <c r="O1" s="591"/>
      <c r="P1" s="591"/>
      <c r="Q1" s="591"/>
      <c r="R1" s="591"/>
      <c r="S1" s="591"/>
      <c r="T1" s="591"/>
      <c r="U1" s="591"/>
      <c r="V1" s="427"/>
      <c r="W1" s="427"/>
      <c r="X1" s="427"/>
      <c r="Y1" s="427"/>
      <c r="Z1" s="427"/>
      <c r="AA1" s="427"/>
      <c r="AB1" s="427"/>
      <c r="AC1" s="427"/>
      <c r="AD1" s="427"/>
      <c r="AE1" s="427"/>
      <c r="AF1" s="427"/>
      <c r="AG1" s="427"/>
      <c r="AH1" s="427"/>
      <c r="AI1" s="427"/>
      <c r="AJ1" s="427"/>
      <c r="AK1" s="427"/>
      <c r="AL1" s="427"/>
      <c r="AM1" s="427"/>
      <c r="AN1" s="427"/>
      <c r="AO1" s="427"/>
    </row>
    <row r="2" spans="1:41">
      <c r="A2" s="591" t="s">
        <v>31</v>
      </c>
      <c r="B2" s="591"/>
      <c r="C2" s="591"/>
      <c r="D2" s="591"/>
      <c r="E2" s="591"/>
      <c r="F2" s="591"/>
      <c r="G2" s="591"/>
      <c r="H2" s="591"/>
      <c r="I2" s="591"/>
      <c r="J2" s="591"/>
      <c r="K2" s="591"/>
      <c r="L2" s="591"/>
      <c r="M2" s="591"/>
      <c r="N2" s="591"/>
      <c r="O2" s="591"/>
      <c r="P2" s="591"/>
      <c r="Q2" s="591"/>
      <c r="R2" s="591"/>
      <c r="S2" s="591"/>
      <c r="T2" s="591"/>
      <c r="U2" s="591"/>
      <c r="V2" s="427"/>
      <c r="W2" s="427"/>
      <c r="X2" s="427"/>
      <c r="Y2" s="427"/>
      <c r="Z2" s="427"/>
      <c r="AA2" s="427"/>
      <c r="AB2" s="427"/>
      <c r="AC2" s="427"/>
      <c r="AD2" s="427"/>
      <c r="AE2" s="427"/>
      <c r="AF2" s="427"/>
      <c r="AG2" s="427"/>
      <c r="AH2" s="427"/>
      <c r="AI2" s="427"/>
      <c r="AJ2" s="427"/>
      <c r="AK2" s="427"/>
      <c r="AL2" s="427"/>
      <c r="AM2" s="427"/>
      <c r="AN2" s="427"/>
      <c r="AO2" s="427"/>
    </row>
    <row r="3" spans="1:41">
      <c r="A3" s="591" t="s">
        <v>30</v>
      </c>
      <c r="B3" s="591"/>
      <c r="C3" s="591"/>
      <c r="D3" s="591"/>
      <c r="E3" s="591"/>
      <c r="F3" s="591"/>
      <c r="G3" s="591"/>
      <c r="H3" s="591"/>
      <c r="I3" s="591"/>
      <c r="J3" s="591"/>
      <c r="K3" s="591"/>
      <c r="L3" s="591"/>
      <c r="M3" s="591"/>
      <c r="N3" s="591"/>
      <c r="O3" s="591"/>
      <c r="P3" s="591"/>
      <c r="Q3" s="591"/>
      <c r="R3" s="591"/>
      <c r="S3" s="591"/>
      <c r="T3" s="591"/>
      <c r="U3" s="591"/>
      <c r="V3" s="427"/>
      <c r="W3" s="427"/>
      <c r="X3" s="427"/>
      <c r="Y3" s="427"/>
      <c r="Z3" s="427"/>
      <c r="AA3" s="427"/>
      <c r="AB3" s="427"/>
      <c r="AC3" s="427"/>
      <c r="AD3" s="427"/>
      <c r="AE3" s="427"/>
      <c r="AF3" s="427"/>
      <c r="AG3" s="427"/>
      <c r="AH3" s="427"/>
      <c r="AI3" s="427"/>
      <c r="AJ3" s="427"/>
      <c r="AK3" s="427"/>
      <c r="AL3" s="427"/>
      <c r="AM3" s="427"/>
      <c r="AN3" s="427"/>
      <c r="AO3" s="427"/>
    </row>
    <row r="4" spans="1:41">
      <c r="A4" s="501"/>
      <c r="B4" s="502"/>
      <c r="C4" s="503"/>
      <c r="D4" s="503"/>
      <c r="E4" s="503"/>
      <c r="F4" s="503"/>
      <c r="G4" s="503"/>
      <c r="H4" s="503"/>
      <c r="I4" s="503"/>
      <c r="J4" s="503"/>
      <c r="K4" s="503"/>
      <c r="L4" s="503"/>
      <c r="M4" s="503"/>
      <c r="N4" s="504"/>
      <c r="O4" s="504"/>
      <c r="P4" s="504"/>
      <c r="Q4" s="504"/>
      <c r="R4" s="504"/>
      <c r="S4" s="504"/>
      <c r="T4" s="504"/>
    </row>
    <row r="5" spans="1:41">
      <c r="B5" s="505"/>
      <c r="C5" s="410" t="s">
        <v>5</v>
      </c>
      <c r="D5" s="410" t="s">
        <v>6</v>
      </c>
      <c r="E5" s="410" t="s">
        <v>3</v>
      </c>
      <c r="F5" s="410" t="s">
        <v>4</v>
      </c>
      <c r="G5" s="410" t="s">
        <v>5</v>
      </c>
      <c r="H5" s="410" t="s">
        <v>6</v>
      </c>
      <c r="I5" s="410" t="s">
        <v>3</v>
      </c>
      <c r="J5" s="410" t="s">
        <v>4</v>
      </c>
      <c r="K5" s="410" t="s">
        <v>5</v>
      </c>
      <c r="L5" s="410" t="s">
        <v>6</v>
      </c>
      <c r="M5" s="410" t="s">
        <v>3</v>
      </c>
      <c r="N5" s="410" t="s">
        <v>4</v>
      </c>
      <c r="O5" s="410" t="s">
        <v>5</v>
      </c>
      <c r="P5" s="410" t="s">
        <v>6</v>
      </c>
      <c r="Q5" s="410" t="s">
        <v>3</v>
      </c>
      <c r="R5" s="410" t="s">
        <v>4</v>
      </c>
      <c r="S5" s="410" t="s">
        <v>5</v>
      </c>
      <c r="T5" s="410" t="s">
        <v>6</v>
      </c>
    </row>
    <row r="6" spans="1:41">
      <c r="A6" s="505" t="s">
        <v>7</v>
      </c>
      <c r="B6" s="505"/>
      <c r="C6" s="411" t="s">
        <v>43</v>
      </c>
      <c r="D6" s="411" t="s">
        <v>43</v>
      </c>
      <c r="E6" s="411" t="s">
        <v>44</v>
      </c>
      <c r="F6" s="411" t="s">
        <v>44</v>
      </c>
      <c r="G6" s="411" t="s">
        <v>44</v>
      </c>
      <c r="H6" s="411" t="s">
        <v>44</v>
      </c>
      <c r="I6" s="411" t="s">
        <v>45</v>
      </c>
      <c r="J6" s="411" t="s">
        <v>45</v>
      </c>
      <c r="K6" s="411" t="s">
        <v>45</v>
      </c>
      <c r="L6" s="411" t="s">
        <v>45</v>
      </c>
      <c r="M6" s="411" t="s">
        <v>46</v>
      </c>
      <c r="N6" s="411" t="s">
        <v>46</v>
      </c>
      <c r="O6" s="411" t="s">
        <v>46</v>
      </c>
      <c r="P6" s="411" t="s">
        <v>46</v>
      </c>
      <c r="Q6" s="411" t="s">
        <v>266</v>
      </c>
      <c r="R6" s="411" t="s">
        <v>266</v>
      </c>
      <c r="S6" s="411" t="s">
        <v>266</v>
      </c>
      <c r="T6" s="411" t="s">
        <v>266</v>
      </c>
    </row>
    <row r="7" spans="1:41" ht="5.25" customHeight="1">
      <c r="B7" s="506"/>
      <c r="C7" s="507"/>
      <c r="D7" s="507"/>
      <c r="E7" s="507"/>
      <c r="F7" s="507"/>
      <c r="G7" s="507"/>
      <c r="H7" s="507"/>
      <c r="I7" s="507"/>
      <c r="J7" s="507"/>
      <c r="K7" s="507"/>
      <c r="L7" s="507"/>
      <c r="M7" s="507"/>
      <c r="N7" s="507"/>
      <c r="O7" s="507"/>
      <c r="P7" s="507"/>
      <c r="Q7" s="507"/>
      <c r="R7" s="507"/>
      <c r="S7" s="507"/>
      <c r="T7" s="507"/>
    </row>
    <row r="8" spans="1:41">
      <c r="B8" s="500" t="s">
        <v>14</v>
      </c>
      <c r="C8" s="507"/>
      <c r="D8" s="507"/>
      <c r="E8" s="507"/>
      <c r="F8" s="507"/>
      <c r="G8" s="507"/>
      <c r="H8" s="507"/>
      <c r="I8" s="507"/>
      <c r="J8" s="507"/>
      <c r="K8" s="507"/>
      <c r="L8" s="507"/>
      <c r="M8" s="507"/>
      <c r="N8" s="507"/>
      <c r="O8" s="507"/>
      <c r="P8" s="507"/>
      <c r="Q8" s="507"/>
      <c r="R8" s="507"/>
      <c r="S8" s="507"/>
      <c r="T8" s="507"/>
    </row>
    <row r="9" spans="1:41">
      <c r="B9" s="500" t="s">
        <v>60</v>
      </c>
      <c r="C9" s="508">
        <v>2842</v>
      </c>
      <c r="D9" s="508">
        <v>2958</v>
      </c>
      <c r="E9" s="508">
        <v>2988</v>
      </c>
      <c r="F9" s="508">
        <v>2728</v>
      </c>
      <c r="G9" s="508">
        <v>2360</v>
      </c>
      <c r="H9" s="508">
        <v>2768</v>
      </c>
      <c r="I9" s="508">
        <v>2695</v>
      </c>
      <c r="J9" s="508">
        <v>2214</v>
      </c>
      <c r="K9" s="508">
        <v>2123</v>
      </c>
      <c r="L9" s="508">
        <v>2812</v>
      </c>
      <c r="M9" s="508">
        <v>2658</v>
      </c>
      <c r="N9" s="508">
        <v>2334</v>
      </c>
      <c r="O9" s="508">
        <f>2468+1</f>
        <v>2469</v>
      </c>
      <c r="P9" s="508">
        <v>3165</v>
      </c>
      <c r="Q9" s="508">
        <v>3049</v>
      </c>
      <c r="R9" s="508">
        <v>2786</v>
      </c>
      <c r="S9" s="508">
        <v>2909</v>
      </c>
      <c r="T9" s="508">
        <v>3959</v>
      </c>
    </row>
    <row r="10" spans="1:41">
      <c r="B10" s="500" t="s">
        <v>61</v>
      </c>
      <c r="C10" s="434">
        <v>94</v>
      </c>
      <c r="D10" s="434">
        <v>44</v>
      </c>
      <c r="E10" s="434">
        <v>42</v>
      </c>
      <c r="F10" s="434">
        <v>102</v>
      </c>
      <c r="G10" s="434">
        <v>361</v>
      </c>
      <c r="H10" s="434">
        <v>477</v>
      </c>
      <c r="I10" s="434">
        <v>647</v>
      </c>
      <c r="J10" s="434">
        <v>632</v>
      </c>
      <c r="K10" s="434">
        <v>726</v>
      </c>
      <c r="L10" s="434">
        <v>696</v>
      </c>
      <c r="M10" s="434">
        <v>701</v>
      </c>
      <c r="N10" s="434">
        <v>610</v>
      </c>
      <c r="O10" s="434">
        <f>433-1</f>
        <v>432</v>
      </c>
      <c r="P10" s="434">
        <v>360</v>
      </c>
      <c r="Q10" s="434">
        <v>427</v>
      </c>
      <c r="R10" s="434">
        <v>406</v>
      </c>
      <c r="S10" s="434">
        <v>455</v>
      </c>
      <c r="T10" s="434">
        <v>416</v>
      </c>
    </row>
    <row r="11" spans="1:41">
      <c r="B11" s="500" t="s">
        <v>62</v>
      </c>
      <c r="C11" s="434">
        <v>316</v>
      </c>
      <c r="D11" s="434">
        <v>974</v>
      </c>
      <c r="E11" s="434">
        <v>181</v>
      </c>
      <c r="F11" s="434">
        <v>268</v>
      </c>
      <c r="G11" s="434">
        <v>228</v>
      </c>
      <c r="H11" s="434">
        <v>739</v>
      </c>
      <c r="I11" s="434">
        <v>134</v>
      </c>
      <c r="J11" s="434">
        <v>190</v>
      </c>
      <c r="K11" s="434">
        <v>246</v>
      </c>
      <c r="L11" s="434">
        <f>640+33</f>
        <v>673</v>
      </c>
      <c r="M11" s="434">
        <v>95</v>
      </c>
      <c r="N11" s="434">
        <v>140</v>
      </c>
      <c r="O11" s="434">
        <v>139</v>
      </c>
      <c r="P11" s="434">
        <v>649</v>
      </c>
      <c r="Q11" s="434">
        <v>103</v>
      </c>
      <c r="R11" s="434">
        <v>227</v>
      </c>
      <c r="S11" s="434">
        <v>200</v>
      </c>
      <c r="T11" s="434">
        <v>707</v>
      </c>
    </row>
    <row r="12" spans="1:41">
      <c r="B12" s="500" t="s">
        <v>268</v>
      </c>
      <c r="C12" s="434">
        <v>377</v>
      </c>
      <c r="D12" s="434">
        <v>262</v>
      </c>
      <c r="E12" s="434">
        <v>230</v>
      </c>
      <c r="F12" s="434">
        <v>198</v>
      </c>
      <c r="G12" s="434">
        <v>351</v>
      </c>
      <c r="H12" s="434">
        <v>241</v>
      </c>
      <c r="I12" s="434">
        <v>194</v>
      </c>
      <c r="J12" s="434">
        <v>157</v>
      </c>
      <c r="K12" s="434">
        <v>258</v>
      </c>
      <c r="L12" s="434">
        <v>112</v>
      </c>
      <c r="M12" s="434">
        <v>103</v>
      </c>
      <c r="N12" s="434">
        <v>93</v>
      </c>
      <c r="O12" s="434">
        <v>207</v>
      </c>
      <c r="P12" s="434">
        <v>144</v>
      </c>
      <c r="Q12" s="434">
        <v>146</v>
      </c>
      <c r="R12" s="434">
        <v>128</v>
      </c>
      <c r="S12" s="434">
        <v>291</v>
      </c>
      <c r="T12" s="434">
        <v>209</v>
      </c>
    </row>
    <row r="13" spans="1:41">
      <c r="B13" s="500" t="s">
        <v>63</v>
      </c>
      <c r="C13" s="434">
        <v>226</v>
      </c>
      <c r="D13" s="434">
        <v>235</v>
      </c>
      <c r="E13" s="434">
        <v>245</v>
      </c>
      <c r="F13" s="434">
        <v>231</v>
      </c>
      <c r="G13" s="434">
        <v>253</v>
      </c>
      <c r="H13" s="434">
        <v>224</v>
      </c>
      <c r="I13" s="434">
        <v>217</v>
      </c>
      <c r="J13" s="434">
        <v>219</v>
      </c>
      <c r="K13" s="434">
        <v>248</v>
      </c>
      <c r="L13" s="434">
        <v>147</v>
      </c>
      <c r="M13" s="434">
        <v>129</v>
      </c>
      <c r="N13" s="434">
        <v>126</v>
      </c>
      <c r="O13" s="434">
        <v>150</v>
      </c>
      <c r="P13" s="434">
        <v>137</v>
      </c>
      <c r="Q13" s="434">
        <v>148</v>
      </c>
      <c r="R13" s="434">
        <v>141</v>
      </c>
      <c r="S13" s="434">
        <v>164</v>
      </c>
      <c r="T13" s="434">
        <v>164</v>
      </c>
    </row>
    <row r="14" spans="1:41">
      <c r="B14" s="500" t="s">
        <v>64</v>
      </c>
      <c r="C14" s="434">
        <v>10</v>
      </c>
      <c r="D14" s="434">
        <v>35</v>
      </c>
      <c r="E14" s="434">
        <v>35</v>
      </c>
      <c r="F14" s="434">
        <v>51</v>
      </c>
      <c r="G14" s="434">
        <v>65</v>
      </c>
      <c r="H14" s="434">
        <v>55</v>
      </c>
      <c r="I14" s="434">
        <v>40</v>
      </c>
      <c r="J14" s="434">
        <v>27</v>
      </c>
      <c r="K14" s="434">
        <v>26</v>
      </c>
      <c r="L14" s="434">
        <v>45</v>
      </c>
      <c r="M14" s="434">
        <v>32</v>
      </c>
      <c r="N14" s="434">
        <v>43</v>
      </c>
      <c r="O14" s="434">
        <v>42</v>
      </c>
      <c r="P14" s="434">
        <v>22</v>
      </c>
      <c r="Q14" s="434">
        <v>22</v>
      </c>
      <c r="R14" s="434">
        <v>8</v>
      </c>
      <c r="S14" s="434">
        <v>13</v>
      </c>
      <c r="T14" s="434">
        <v>11</v>
      </c>
    </row>
    <row r="15" spans="1:41">
      <c r="B15" s="500" t="s">
        <v>12</v>
      </c>
      <c r="C15" s="434">
        <v>228</v>
      </c>
      <c r="D15" s="434">
        <v>537</v>
      </c>
      <c r="E15" s="434">
        <v>573</v>
      </c>
      <c r="F15" s="434">
        <v>794</v>
      </c>
      <c r="G15" s="434">
        <v>730</v>
      </c>
      <c r="H15" s="434">
        <v>502</v>
      </c>
      <c r="I15" s="434">
        <v>400</v>
      </c>
      <c r="J15" s="434">
        <v>407</v>
      </c>
      <c r="K15" s="434">
        <v>427</v>
      </c>
      <c r="L15" s="434">
        <v>648</v>
      </c>
      <c r="M15" s="434">
        <v>464</v>
      </c>
      <c r="N15" s="434">
        <v>511</v>
      </c>
      <c r="O15" s="434">
        <v>507</v>
      </c>
      <c r="P15" s="434">
        <v>507</v>
      </c>
      <c r="Q15" s="434">
        <v>445</v>
      </c>
      <c r="R15" s="434">
        <v>484</v>
      </c>
      <c r="S15" s="434">
        <v>497</v>
      </c>
      <c r="T15" s="434">
        <v>487</v>
      </c>
    </row>
    <row r="16" spans="1:41">
      <c r="B16" s="500" t="s">
        <v>67</v>
      </c>
      <c r="C16" s="434">
        <v>51</v>
      </c>
      <c r="D16" s="434">
        <v>14</v>
      </c>
      <c r="E16" s="434">
        <v>4</v>
      </c>
      <c r="F16" s="434">
        <v>2</v>
      </c>
      <c r="G16" s="434">
        <v>1</v>
      </c>
      <c r="H16" s="434">
        <v>0</v>
      </c>
      <c r="I16" s="434">
        <v>0</v>
      </c>
      <c r="J16" s="434">
        <v>0</v>
      </c>
      <c r="K16" s="434">
        <v>0</v>
      </c>
      <c r="L16" s="434">
        <v>0</v>
      </c>
      <c r="M16" s="434">
        <v>0</v>
      </c>
      <c r="N16" s="434">
        <v>0</v>
      </c>
      <c r="O16" s="434">
        <v>0</v>
      </c>
      <c r="P16" s="434">
        <v>0</v>
      </c>
      <c r="Q16" s="434">
        <v>0</v>
      </c>
      <c r="R16" s="434">
        <v>0</v>
      </c>
      <c r="S16" s="434">
        <v>0</v>
      </c>
      <c r="T16" s="434">
        <v>0</v>
      </c>
    </row>
    <row r="17" spans="1:20" s="505" customFormat="1">
      <c r="B17" s="500" t="s">
        <v>65</v>
      </c>
      <c r="C17" s="509">
        <v>57</v>
      </c>
      <c r="D17" s="509">
        <v>206</v>
      </c>
      <c r="E17" s="509">
        <v>215</v>
      </c>
      <c r="F17" s="509">
        <v>129</v>
      </c>
      <c r="G17" s="509">
        <v>167</v>
      </c>
      <c r="H17" s="509">
        <v>327</v>
      </c>
      <c r="I17" s="509">
        <v>164</v>
      </c>
      <c r="J17" s="509">
        <v>128</v>
      </c>
      <c r="K17" s="509">
        <v>102</v>
      </c>
      <c r="L17" s="509">
        <v>299</v>
      </c>
      <c r="M17" s="509">
        <v>175</v>
      </c>
      <c r="N17" s="509">
        <v>97</v>
      </c>
      <c r="O17" s="509">
        <v>136</v>
      </c>
      <c r="P17" s="509">
        <v>396</v>
      </c>
      <c r="Q17" s="509">
        <v>226</v>
      </c>
      <c r="R17" s="509">
        <v>152</v>
      </c>
      <c r="S17" s="509">
        <v>173</v>
      </c>
      <c r="T17" s="509">
        <v>321</v>
      </c>
    </row>
    <row r="18" spans="1:20">
      <c r="B18" s="505" t="s">
        <v>13</v>
      </c>
      <c r="C18" s="510">
        <f t="shared" ref="C18:L18" si="0">SUM(C9:C17)</f>
        <v>4201</v>
      </c>
      <c r="D18" s="510">
        <f>SUM(D9:D17)</f>
        <v>5265</v>
      </c>
      <c r="E18" s="510">
        <f>SUM(E9:E17)</f>
        <v>4513</v>
      </c>
      <c r="F18" s="510">
        <f>SUM(F9:F17)</f>
        <v>4503</v>
      </c>
      <c r="G18" s="510">
        <f>SUM(G9:G17)</f>
        <v>4516</v>
      </c>
      <c r="H18" s="510">
        <f t="shared" si="0"/>
        <v>5333</v>
      </c>
      <c r="I18" s="510">
        <f t="shared" si="0"/>
        <v>4491</v>
      </c>
      <c r="J18" s="510">
        <f t="shared" si="0"/>
        <v>3974</v>
      </c>
      <c r="K18" s="510">
        <f t="shared" si="0"/>
        <v>4156</v>
      </c>
      <c r="L18" s="510">
        <f t="shared" si="0"/>
        <v>5432</v>
      </c>
      <c r="M18" s="510">
        <f t="shared" ref="M18:R18" si="1">SUM(M9:M17)</f>
        <v>4357</v>
      </c>
      <c r="N18" s="510">
        <f t="shared" si="1"/>
        <v>3954</v>
      </c>
      <c r="O18" s="510">
        <f t="shared" si="1"/>
        <v>4082</v>
      </c>
      <c r="P18" s="510">
        <f t="shared" si="1"/>
        <v>5380</v>
      </c>
      <c r="Q18" s="510">
        <f t="shared" si="1"/>
        <v>4566</v>
      </c>
      <c r="R18" s="510">
        <f t="shared" si="1"/>
        <v>4332</v>
      </c>
      <c r="S18" s="510">
        <f t="shared" ref="S18:T18" si="2">SUM(S9:S17)</f>
        <v>4702</v>
      </c>
      <c r="T18" s="510">
        <f t="shared" si="2"/>
        <v>6274</v>
      </c>
    </row>
    <row r="19" spans="1:20">
      <c r="C19" s="434"/>
      <c r="D19" s="434"/>
      <c r="E19" s="434"/>
      <c r="F19" s="434"/>
      <c r="G19" s="434"/>
      <c r="H19" s="434"/>
      <c r="I19" s="434"/>
      <c r="J19" s="434"/>
      <c r="K19" s="434"/>
      <c r="L19" s="434"/>
      <c r="M19" s="434"/>
      <c r="N19" s="434"/>
      <c r="O19" s="434"/>
      <c r="P19" s="434"/>
      <c r="Q19" s="434"/>
      <c r="R19" s="434"/>
      <c r="S19" s="434"/>
      <c r="T19" s="434"/>
    </row>
    <row r="20" spans="1:20">
      <c r="B20" s="500" t="s">
        <v>66</v>
      </c>
      <c r="C20" s="434">
        <v>86</v>
      </c>
      <c r="D20" s="434">
        <v>78</v>
      </c>
      <c r="E20" s="434">
        <v>79</v>
      </c>
      <c r="F20" s="434">
        <v>23</v>
      </c>
      <c r="G20" s="434">
        <v>22</v>
      </c>
      <c r="H20" s="434">
        <v>23</v>
      </c>
      <c r="I20" s="434">
        <v>23</v>
      </c>
      <c r="J20" s="434">
        <v>23</v>
      </c>
      <c r="K20" s="434">
        <v>23</v>
      </c>
      <c r="L20" s="434">
        <v>23</v>
      </c>
      <c r="M20" s="434">
        <v>25</v>
      </c>
      <c r="N20" s="434">
        <v>25</v>
      </c>
      <c r="O20" s="434">
        <v>25</v>
      </c>
      <c r="P20" s="434">
        <v>16</v>
      </c>
      <c r="Q20" s="434">
        <v>17</v>
      </c>
      <c r="R20" s="434">
        <v>17</v>
      </c>
      <c r="S20" s="434">
        <v>19</v>
      </c>
      <c r="T20" s="434">
        <v>8</v>
      </c>
    </row>
    <row r="21" spans="1:20" s="505" customFormat="1">
      <c r="B21" s="500" t="s">
        <v>63</v>
      </c>
      <c r="C21" s="434">
        <v>20</v>
      </c>
      <c r="D21" s="434">
        <v>1</v>
      </c>
      <c r="E21" s="434">
        <v>6</v>
      </c>
      <c r="F21" s="434">
        <v>16</v>
      </c>
      <c r="G21" s="434">
        <v>15</v>
      </c>
      <c r="H21" s="434">
        <v>10</v>
      </c>
      <c r="I21" s="434">
        <v>4</v>
      </c>
      <c r="J21" s="434">
        <v>30</v>
      </c>
      <c r="K21" s="434">
        <v>37</v>
      </c>
      <c r="L21" s="434">
        <v>55</v>
      </c>
      <c r="M21" s="434">
        <v>65</v>
      </c>
      <c r="N21" s="434">
        <v>90</v>
      </c>
      <c r="O21" s="434">
        <v>114</v>
      </c>
      <c r="P21" s="434">
        <v>62</v>
      </c>
      <c r="Q21" s="434">
        <v>91</v>
      </c>
      <c r="R21" s="434">
        <v>123</v>
      </c>
      <c r="S21" s="434">
        <v>156</v>
      </c>
      <c r="T21" s="434">
        <v>129</v>
      </c>
    </row>
    <row r="22" spans="1:20" s="505" customFormat="1">
      <c r="B22" s="500" t="s">
        <v>64</v>
      </c>
      <c r="C22" s="434">
        <v>0</v>
      </c>
      <c r="D22" s="434">
        <v>5</v>
      </c>
      <c r="E22" s="434">
        <v>5</v>
      </c>
      <c r="F22" s="434">
        <v>5</v>
      </c>
      <c r="G22" s="434">
        <v>0</v>
      </c>
      <c r="H22" s="434">
        <v>28</v>
      </c>
      <c r="I22" s="434">
        <v>29</v>
      </c>
      <c r="J22" s="434">
        <v>32</v>
      </c>
      <c r="K22" s="434">
        <v>36</v>
      </c>
      <c r="L22" s="434">
        <v>28</v>
      </c>
      <c r="M22" s="434">
        <v>29</v>
      </c>
      <c r="N22" s="434">
        <v>16</v>
      </c>
      <c r="O22" s="434">
        <v>13</v>
      </c>
      <c r="P22" s="434">
        <v>12</v>
      </c>
      <c r="Q22" s="434">
        <v>12</v>
      </c>
      <c r="R22" s="434">
        <v>12</v>
      </c>
      <c r="S22" s="434">
        <v>4</v>
      </c>
      <c r="T22" s="434">
        <v>30</v>
      </c>
    </row>
    <row r="23" spans="1:20" s="505" customFormat="1">
      <c r="B23" s="500" t="s">
        <v>15</v>
      </c>
      <c r="C23" s="434">
        <v>168</v>
      </c>
      <c r="D23" s="434">
        <v>149</v>
      </c>
      <c r="E23" s="434">
        <v>138</v>
      </c>
      <c r="F23" s="434">
        <v>134</v>
      </c>
      <c r="G23" s="434">
        <v>133</v>
      </c>
      <c r="H23" s="434">
        <v>138</v>
      </c>
      <c r="I23" s="434">
        <v>131</v>
      </c>
      <c r="J23" s="434">
        <v>160</v>
      </c>
      <c r="K23" s="434">
        <v>169</v>
      </c>
      <c r="L23" s="434">
        <v>169</v>
      </c>
      <c r="M23" s="434">
        <v>165</v>
      </c>
      <c r="N23" s="434">
        <v>163</v>
      </c>
      <c r="O23" s="434">
        <v>167</v>
      </c>
      <c r="P23" s="434">
        <v>163</v>
      </c>
      <c r="Q23" s="434">
        <v>154</v>
      </c>
      <c r="R23" s="434">
        <v>149</v>
      </c>
      <c r="S23" s="434">
        <v>148</v>
      </c>
      <c r="T23" s="434">
        <v>141</v>
      </c>
    </row>
    <row r="24" spans="1:20" s="505" customFormat="1">
      <c r="B24" s="500" t="s">
        <v>74</v>
      </c>
      <c r="C24" s="434">
        <v>80</v>
      </c>
      <c r="D24" s="434">
        <v>0</v>
      </c>
      <c r="E24" s="434">
        <v>0</v>
      </c>
      <c r="F24" s="434">
        <v>0</v>
      </c>
      <c r="G24" s="434">
        <v>0</v>
      </c>
      <c r="H24" s="434">
        <v>0</v>
      </c>
      <c r="I24" s="434">
        <v>0</v>
      </c>
      <c r="J24" s="434">
        <v>0</v>
      </c>
      <c r="K24" s="434">
        <v>0</v>
      </c>
      <c r="L24" s="434">
        <v>0</v>
      </c>
      <c r="M24" s="434">
        <v>0</v>
      </c>
      <c r="N24" s="434">
        <v>0</v>
      </c>
      <c r="O24" s="434">
        <v>0</v>
      </c>
      <c r="P24" s="434">
        <v>0</v>
      </c>
      <c r="Q24" s="434">
        <v>0</v>
      </c>
      <c r="R24" s="434">
        <v>0</v>
      </c>
      <c r="S24" s="434">
        <v>0</v>
      </c>
      <c r="T24" s="434">
        <v>0</v>
      </c>
    </row>
    <row r="25" spans="1:20" s="505" customFormat="1">
      <c r="B25" s="500" t="s">
        <v>9</v>
      </c>
      <c r="C25" s="434">
        <v>21</v>
      </c>
      <c r="D25" s="434">
        <v>25</v>
      </c>
      <c r="E25" s="434">
        <v>18</v>
      </c>
      <c r="F25" s="434">
        <v>11</v>
      </c>
      <c r="G25" s="434">
        <v>7</v>
      </c>
      <c r="H25" s="434">
        <v>9</v>
      </c>
      <c r="I25" s="434">
        <v>11</v>
      </c>
      <c r="J25" s="434">
        <v>13</v>
      </c>
      <c r="K25" s="434">
        <v>14</v>
      </c>
      <c r="L25" s="434">
        <v>15</v>
      </c>
      <c r="M25" s="434">
        <v>17</v>
      </c>
      <c r="N25" s="434">
        <v>16</v>
      </c>
      <c r="O25" s="434">
        <v>15</v>
      </c>
      <c r="P25" s="434">
        <v>12</v>
      </c>
      <c r="Q25" s="434">
        <v>15</v>
      </c>
      <c r="R25" s="434">
        <v>12</v>
      </c>
      <c r="S25" s="434">
        <v>12</v>
      </c>
      <c r="T25" s="434">
        <v>11</v>
      </c>
    </row>
    <row r="26" spans="1:20" s="505" customFormat="1">
      <c r="B26" s="500" t="s">
        <v>67</v>
      </c>
      <c r="C26" s="434">
        <v>1462</v>
      </c>
      <c r="D26" s="434">
        <v>1283</v>
      </c>
      <c r="E26" s="434">
        <v>1244</v>
      </c>
      <c r="F26" s="434">
        <v>1206</v>
      </c>
      <c r="G26" s="434">
        <v>1168</v>
      </c>
      <c r="H26" s="434">
        <v>618</v>
      </c>
      <c r="I26" s="434">
        <v>599</v>
      </c>
      <c r="J26" s="434">
        <v>587</v>
      </c>
      <c r="K26" s="434">
        <v>566</v>
      </c>
      <c r="L26" s="434">
        <v>160</v>
      </c>
      <c r="M26" s="434">
        <v>152</v>
      </c>
      <c r="N26" s="434">
        <v>145</v>
      </c>
      <c r="O26" s="434">
        <v>138</v>
      </c>
      <c r="P26" s="434">
        <v>88</v>
      </c>
      <c r="Q26" s="434">
        <v>85</v>
      </c>
      <c r="R26" s="434">
        <v>83</v>
      </c>
      <c r="S26" s="434">
        <v>80</v>
      </c>
      <c r="T26" s="434">
        <v>68</v>
      </c>
    </row>
    <row r="27" spans="1:20" s="505" customFormat="1">
      <c r="B27" s="500" t="s">
        <v>68</v>
      </c>
      <c r="C27" s="434">
        <v>433</v>
      </c>
      <c r="D27" s="434">
        <v>433</v>
      </c>
      <c r="E27" s="434">
        <v>433</v>
      </c>
      <c r="F27" s="434">
        <v>433</v>
      </c>
      <c r="G27" s="434">
        <v>433</v>
      </c>
      <c r="H27" s="434">
        <v>433</v>
      </c>
      <c r="I27" s="434">
        <v>433</v>
      </c>
      <c r="J27" s="434">
        <v>433</v>
      </c>
      <c r="K27" s="434">
        <v>433</v>
      </c>
      <c r="L27" s="434">
        <v>433</v>
      </c>
      <c r="M27" s="434">
        <v>433</v>
      </c>
      <c r="N27" s="434">
        <v>433</v>
      </c>
      <c r="O27" s="434">
        <v>433</v>
      </c>
      <c r="P27" s="434">
        <v>433</v>
      </c>
      <c r="Q27" s="434">
        <v>433</v>
      </c>
      <c r="R27" s="434">
        <v>433</v>
      </c>
      <c r="S27" s="434">
        <v>433</v>
      </c>
      <c r="T27" s="434">
        <v>433</v>
      </c>
    </row>
    <row r="28" spans="1:20">
      <c r="B28" s="500" t="s">
        <v>8</v>
      </c>
      <c r="C28" s="509">
        <v>7270</v>
      </c>
      <c r="D28" s="509">
        <v>7227</v>
      </c>
      <c r="E28" s="509">
        <v>7213</v>
      </c>
      <c r="F28" s="509">
        <v>7176</v>
      </c>
      <c r="G28" s="509">
        <v>7161</v>
      </c>
      <c r="H28" s="509">
        <v>7154</v>
      </c>
      <c r="I28" s="509">
        <v>7150</v>
      </c>
      <c r="J28" s="509">
        <v>7147</v>
      </c>
      <c r="K28" s="509">
        <v>7144</v>
      </c>
      <c r="L28" s="509">
        <v>7132</v>
      </c>
      <c r="M28" s="509">
        <v>7134</v>
      </c>
      <c r="N28" s="509">
        <v>7130</v>
      </c>
      <c r="O28" s="509">
        <v>7126</v>
      </c>
      <c r="P28" s="509">
        <v>7111</v>
      </c>
      <c r="Q28" s="509">
        <v>7109</v>
      </c>
      <c r="R28" s="509">
        <v>7108</v>
      </c>
      <c r="S28" s="509">
        <v>7107</v>
      </c>
      <c r="T28" s="509">
        <v>7106</v>
      </c>
    </row>
    <row r="29" spans="1:20" ht="12.75" thickBot="1">
      <c r="B29" s="505" t="s">
        <v>20</v>
      </c>
      <c r="C29" s="511">
        <f t="shared" ref="C29:N29" si="3">SUM(C18:C28)</f>
        <v>13741</v>
      </c>
      <c r="D29" s="511">
        <f t="shared" si="3"/>
        <v>14466</v>
      </c>
      <c r="E29" s="511">
        <f t="shared" si="3"/>
        <v>13649</v>
      </c>
      <c r="F29" s="511">
        <f>SUM(F18:F28)</f>
        <v>13507</v>
      </c>
      <c r="G29" s="511">
        <f>SUM(G18:G28)</f>
        <v>13455</v>
      </c>
      <c r="H29" s="511">
        <f t="shared" si="3"/>
        <v>13746</v>
      </c>
      <c r="I29" s="511">
        <f t="shared" si="3"/>
        <v>12871</v>
      </c>
      <c r="J29" s="511">
        <f t="shared" si="3"/>
        <v>12399</v>
      </c>
      <c r="K29" s="511">
        <f t="shared" si="3"/>
        <v>12578</v>
      </c>
      <c r="L29" s="511">
        <f t="shared" si="3"/>
        <v>13447</v>
      </c>
      <c r="M29" s="511">
        <f t="shared" si="3"/>
        <v>12377</v>
      </c>
      <c r="N29" s="511">
        <f t="shared" si="3"/>
        <v>11972</v>
      </c>
      <c r="O29" s="511">
        <f t="shared" ref="O29:P29" si="4">SUM(O18:O28)</f>
        <v>12113</v>
      </c>
      <c r="P29" s="511">
        <f t="shared" si="4"/>
        <v>13277</v>
      </c>
      <c r="Q29" s="511">
        <f t="shared" ref="Q29:R29" si="5">SUM(Q18:Q28)</f>
        <v>12482</v>
      </c>
      <c r="R29" s="511">
        <f t="shared" si="5"/>
        <v>12269</v>
      </c>
      <c r="S29" s="511">
        <f t="shared" ref="S29:T29" si="6">SUM(S18:S28)</f>
        <v>12661</v>
      </c>
      <c r="T29" s="511">
        <f t="shared" si="6"/>
        <v>14200</v>
      </c>
    </row>
    <row r="30" spans="1:20">
      <c r="B30" s="505"/>
      <c r="C30" s="512"/>
      <c r="D30" s="512"/>
      <c r="E30" s="512"/>
      <c r="F30" s="512"/>
      <c r="G30" s="512"/>
      <c r="H30" s="512"/>
      <c r="I30" s="512"/>
      <c r="J30" s="512"/>
      <c r="K30" s="512"/>
      <c r="L30" s="512"/>
      <c r="M30" s="512"/>
      <c r="N30" s="512"/>
      <c r="O30" s="512"/>
      <c r="P30" s="512"/>
      <c r="Q30" s="512"/>
      <c r="R30" s="512"/>
      <c r="S30" s="512"/>
      <c r="T30" s="512"/>
    </row>
    <row r="31" spans="1:20">
      <c r="A31" s="505" t="s">
        <v>16</v>
      </c>
      <c r="B31" s="505"/>
      <c r="C31" s="434"/>
      <c r="D31" s="434"/>
      <c r="E31" s="434"/>
      <c r="F31" s="434"/>
      <c r="G31" s="434"/>
      <c r="H31" s="434"/>
      <c r="I31" s="434"/>
      <c r="J31" s="434"/>
      <c r="K31" s="434"/>
      <c r="L31" s="434"/>
      <c r="M31" s="434"/>
      <c r="N31" s="434"/>
      <c r="O31" s="434"/>
      <c r="P31" s="434"/>
      <c r="Q31" s="434"/>
      <c r="R31" s="434"/>
      <c r="S31" s="434"/>
      <c r="T31" s="434"/>
    </row>
    <row r="32" spans="1:20">
      <c r="B32" s="505"/>
      <c r="C32" s="434"/>
      <c r="D32" s="434"/>
      <c r="E32" s="434"/>
      <c r="F32" s="434"/>
      <c r="G32" s="434"/>
      <c r="H32" s="434"/>
      <c r="I32" s="434"/>
      <c r="J32" s="434"/>
      <c r="K32" s="434"/>
      <c r="L32" s="434"/>
      <c r="M32" s="434"/>
      <c r="N32" s="434"/>
      <c r="O32" s="434"/>
      <c r="P32" s="434"/>
      <c r="Q32" s="434"/>
      <c r="R32" s="434"/>
      <c r="S32" s="434"/>
      <c r="T32" s="434"/>
    </row>
    <row r="33" spans="2:20">
      <c r="B33" s="500" t="s">
        <v>17</v>
      </c>
      <c r="C33" s="434"/>
      <c r="D33" s="434"/>
      <c r="E33" s="434"/>
      <c r="F33" s="434"/>
      <c r="G33" s="434"/>
      <c r="H33" s="434"/>
      <c r="I33" s="434"/>
      <c r="J33" s="434"/>
      <c r="K33" s="434"/>
      <c r="L33" s="434"/>
      <c r="M33" s="434"/>
      <c r="N33" s="434"/>
      <c r="O33" s="434"/>
      <c r="P33" s="434"/>
      <c r="Q33" s="434"/>
      <c r="R33" s="434"/>
      <c r="S33" s="434"/>
      <c r="T33" s="434"/>
    </row>
    <row r="34" spans="2:20">
      <c r="B34" s="500" t="s">
        <v>69</v>
      </c>
      <c r="C34" s="508">
        <v>338</v>
      </c>
      <c r="D34" s="508">
        <v>319</v>
      </c>
      <c r="E34" s="508">
        <v>159</v>
      </c>
      <c r="F34" s="508">
        <v>121</v>
      </c>
      <c r="G34" s="508">
        <v>282</v>
      </c>
      <c r="H34" s="508">
        <v>302</v>
      </c>
      <c r="I34" s="508">
        <v>147</v>
      </c>
      <c r="J34" s="508">
        <v>149</v>
      </c>
      <c r="K34" s="508">
        <v>238</v>
      </c>
      <c r="L34" s="508">
        <v>363</v>
      </c>
      <c r="M34" s="508">
        <v>172</v>
      </c>
      <c r="N34" s="508">
        <v>156</v>
      </c>
      <c r="O34" s="508">
        <v>250</v>
      </c>
      <c r="P34" s="508">
        <v>390</v>
      </c>
      <c r="Q34" s="508">
        <v>181</v>
      </c>
      <c r="R34" s="508">
        <v>163</v>
      </c>
      <c r="S34" s="508">
        <v>253</v>
      </c>
      <c r="T34" s="508">
        <v>343</v>
      </c>
    </row>
    <row r="35" spans="2:20" s="505" customFormat="1">
      <c r="B35" s="500" t="s">
        <v>70</v>
      </c>
      <c r="C35" s="434">
        <v>206</v>
      </c>
      <c r="D35" s="434">
        <v>923</v>
      </c>
      <c r="E35" s="434">
        <v>647</v>
      </c>
      <c r="F35" s="434">
        <v>423</v>
      </c>
      <c r="G35" s="434">
        <v>471</v>
      </c>
      <c r="H35" s="434">
        <v>1426</v>
      </c>
      <c r="I35" s="434">
        <v>772</v>
      </c>
      <c r="J35" s="434">
        <v>482</v>
      </c>
      <c r="K35" s="434">
        <v>622</v>
      </c>
      <c r="L35" s="434">
        <v>1726</v>
      </c>
      <c r="M35" s="434">
        <v>1043</v>
      </c>
      <c r="N35" s="434">
        <v>601</v>
      </c>
      <c r="O35" s="434">
        <v>487</v>
      </c>
      <c r="P35" s="434">
        <v>1472</v>
      </c>
      <c r="Q35" s="434">
        <v>917</v>
      </c>
      <c r="R35" s="434">
        <v>905</v>
      </c>
      <c r="S35" s="434">
        <v>847</v>
      </c>
      <c r="T35" s="434">
        <v>1657</v>
      </c>
    </row>
    <row r="36" spans="2:20" s="505" customFormat="1">
      <c r="B36" s="500" t="s">
        <v>71</v>
      </c>
      <c r="C36" s="509">
        <v>557</v>
      </c>
      <c r="D36" s="509">
        <v>844</v>
      </c>
      <c r="E36" s="509">
        <v>508</v>
      </c>
      <c r="F36" s="509">
        <v>539</v>
      </c>
      <c r="G36" s="509">
        <v>540</v>
      </c>
      <c r="H36" s="509">
        <v>788</v>
      </c>
      <c r="I36" s="509">
        <v>635</v>
      </c>
      <c r="J36" s="509">
        <v>473</v>
      </c>
      <c r="K36" s="509">
        <v>552</v>
      </c>
      <c r="L36" s="509">
        <f>838+33</f>
        <v>871</v>
      </c>
      <c r="M36" s="509">
        <v>676</v>
      </c>
      <c r="N36" s="509">
        <v>489</v>
      </c>
      <c r="O36" s="509">
        <v>542</v>
      </c>
      <c r="P36" s="509">
        <v>694</v>
      </c>
      <c r="Q36" s="509">
        <v>676</v>
      </c>
      <c r="R36" s="509">
        <v>416</v>
      </c>
      <c r="S36" s="509">
        <v>455</v>
      </c>
      <c r="T36" s="509">
        <v>652</v>
      </c>
    </row>
    <row r="37" spans="2:20">
      <c r="B37" s="505" t="s">
        <v>21</v>
      </c>
      <c r="C37" s="510">
        <f t="shared" ref="C37:L37" si="7">SUM(C34:C36)</f>
        <v>1101</v>
      </c>
      <c r="D37" s="510">
        <f t="shared" si="7"/>
        <v>2086</v>
      </c>
      <c r="E37" s="510">
        <f t="shared" si="7"/>
        <v>1314</v>
      </c>
      <c r="F37" s="510">
        <f t="shared" si="7"/>
        <v>1083</v>
      </c>
      <c r="G37" s="510">
        <f t="shared" si="7"/>
        <v>1293</v>
      </c>
      <c r="H37" s="510">
        <f t="shared" si="7"/>
        <v>2516</v>
      </c>
      <c r="I37" s="510">
        <f t="shared" si="7"/>
        <v>1554</v>
      </c>
      <c r="J37" s="510">
        <f t="shared" si="7"/>
        <v>1104</v>
      </c>
      <c r="K37" s="510">
        <f t="shared" si="7"/>
        <v>1412</v>
      </c>
      <c r="L37" s="510">
        <f t="shared" si="7"/>
        <v>2960</v>
      </c>
      <c r="M37" s="510">
        <f t="shared" ref="M37:R37" si="8">SUM(M34:M36)</f>
        <v>1891</v>
      </c>
      <c r="N37" s="510">
        <f t="shared" si="8"/>
        <v>1246</v>
      </c>
      <c r="O37" s="510">
        <f t="shared" si="8"/>
        <v>1279</v>
      </c>
      <c r="P37" s="510">
        <f t="shared" si="8"/>
        <v>2556</v>
      </c>
      <c r="Q37" s="510">
        <f t="shared" si="8"/>
        <v>1774</v>
      </c>
      <c r="R37" s="510">
        <f t="shared" si="8"/>
        <v>1484</v>
      </c>
      <c r="S37" s="510">
        <f t="shared" ref="S37:T37" si="9">SUM(S34:S36)</f>
        <v>1555</v>
      </c>
      <c r="T37" s="510">
        <f t="shared" si="9"/>
        <v>2652</v>
      </c>
    </row>
    <row r="38" spans="2:20">
      <c r="C38" s="434"/>
      <c r="D38" s="434"/>
      <c r="E38" s="434"/>
      <c r="F38" s="434"/>
      <c r="G38" s="434"/>
      <c r="H38" s="434"/>
      <c r="I38" s="434"/>
      <c r="J38" s="434"/>
      <c r="K38" s="434"/>
      <c r="L38" s="434"/>
      <c r="M38" s="434"/>
      <c r="N38" s="434"/>
      <c r="O38" s="434"/>
      <c r="P38" s="434"/>
      <c r="Q38" s="434"/>
      <c r="R38" s="434"/>
      <c r="S38" s="434"/>
      <c r="T38" s="434"/>
    </row>
    <row r="39" spans="2:20" s="505" customFormat="1">
      <c r="B39" s="500" t="s">
        <v>12</v>
      </c>
      <c r="C39" s="434">
        <v>696</v>
      </c>
      <c r="D39" s="434">
        <v>616</v>
      </c>
      <c r="E39" s="434">
        <v>710</v>
      </c>
      <c r="F39" s="434">
        <v>701</v>
      </c>
      <c r="G39" s="434">
        <v>688</v>
      </c>
      <c r="H39" s="434">
        <v>274</v>
      </c>
      <c r="I39" s="434">
        <v>259</v>
      </c>
      <c r="J39" s="434">
        <v>255</v>
      </c>
      <c r="K39" s="434">
        <v>239</v>
      </c>
      <c r="L39" s="434">
        <v>120</v>
      </c>
      <c r="M39" s="434">
        <v>83</v>
      </c>
      <c r="N39" s="434">
        <v>97</v>
      </c>
      <c r="O39" s="434">
        <v>95</v>
      </c>
      <c r="P39" s="434">
        <v>55</v>
      </c>
      <c r="Q39" s="434">
        <v>57</v>
      </c>
      <c r="R39" s="434">
        <v>61</v>
      </c>
      <c r="S39" s="434">
        <v>60</v>
      </c>
      <c r="T39" s="434">
        <v>25</v>
      </c>
    </row>
    <row r="40" spans="2:20">
      <c r="B40" s="500" t="s">
        <v>10</v>
      </c>
      <c r="C40" s="509">
        <v>169</v>
      </c>
      <c r="D40" s="509">
        <v>237</v>
      </c>
      <c r="E40" s="509">
        <v>177</v>
      </c>
      <c r="F40" s="509">
        <v>192</v>
      </c>
      <c r="G40" s="509">
        <v>182</v>
      </c>
      <c r="H40" s="509">
        <v>200</v>
      </c>
      <c r="I40" s="509">
        <v>190</v>
      </c>
      <c r="J40" s="509">
        <v>182</v>
      </c>
      <c r="K40" s="509">
        <v>181</v>
      </c>
      <c r="L40" s="509">
        <v>164</v>
      </c>
      <c r="M40" s="509">
        <v>166</v>
      </c>
      <c r="N40" s="509">
        <v>164</v>
      </c>
      <c r="O40" s="509">
        <v>168</v>
      </c>
      <c r="P40" s="509">
        <v>174</v>
      </c>
      <c r="Q40" s="509">
        <v>165</v>
      </c>
      <c r="R40" s="509">
        <v>160</v>
      </c>
      <c r="S40" s="509">
        <v>163</v>
      </c>
      <c r="T40" s="509">
        <v>206</v>
      </c>
    </row>
    <row r="41" spans="2:20">
      <c r="B41" s="505" t="s">
        <v>18</v>
      </c>
      <c r="C41" s="510">
        <f t="shared" ref="C41:L41" si="10">SUM(C37:C40)</f>
        <v>1966</v>
      </c>
      <c r="D41" s="510">
        <f t="shared" si="10"/>
        <v>2939</v>
      </c>
      <c r="E41" s="510">
        <f t="shared" si="10"/>
        <v>2201</v>
      </c>
      <c r="F41" s="510">
        <f t="shared" si="10"/>
        <v>1976</v>
      </c>
      <c r="G41" s="510">
        <f t="shared" si="10"/>
        <v>2163</v>
      </c>
      <c r="H41" s="510">
        <f t="shared" si="10"/>
        <v>2990</v>
      </c>
      <c r="I41" s="510">
        <f t="shared" si="10"/>
        <v>2003</v>
      </c>
      <c r="J41" s="510">
        <f t="shared" si="10"/>
        <v>1541</v>
      </c>
      <c r="K41" s="510">
        <f t="shared" si="10"/>
        <v>1832</v>
      </c>
      <c r="L41" s="510">
        <f t="shared" si="10"/>
        <v>3244</v>
      </c>
      <c r="M41" s="510">
        <f t="shared" ref="M41:R41" si="11">SUM(M37:M40)</f>
        <v>2140</v>
      </c>
      <c r="N41" s="510">
        <f t="shared" si="11"/>
        <v>1507</v>
      </c>
      <c r="O41" s="510">
        <f t="shared" si="11"/>
        <v>1542</v>
      </c>
      <c r="P41" s="510">
        <f t="shared" si="11"/>
        <v>2785</v>
      </c>
      <c r="Q41" s="510">
        <f t="shared" si="11"/>
        <v>1996</v>
      </c>
      <c r="R41" s="510">
        <f t="shared" si="11"/>
        <v>1705</v>
      </c>
      <c r="S41" s="510">
        <f t="shared" ref="S41:T41" si="12">SUM(S37:S40)</f>
        <v>1778</v>
      </c>
      <c r="T41" s="510">
        <f t="shared" si="12"/>
        <v>2883</v>
      </c>
    </row>
    <row r="42" spans="2:20">
      <c r="C42" s="434"/>
      <c r="D42" s="434"/>
      <c r="E42" s="434"/>
      <c r="F42" s="434"/>
      <c r="G42" s="434"/>
      <c r="H42" s="434"/>
      <c r="I42" s="434"/>
      <c r="J42" s="434"/>
      <c r="K42" s="434"/>
      <c r="L42" s="434"/>
      <c r="M42" s="434"/>
      <c r="N42" s="434"/>
      <c r="O42" s="434"/>
      <c r="P42" s="434"/>
      <c r="Q42" s="434"/>
      <c r="R42" s="434"/>
      <c r="S42" s="434"/>
      <c r="T42" s="434"/>
    </row>
    <row r="43" spans="2:20">
      <c r="B43" s="500" t="s">
        <v>19</v>
      </c>
      <c r="C43" s="434">
        <v>0</v>
      </c>
      <c r="D43" s="434">
        <v>0</v>
      </c>
      <c r="E43" s="434">
        <v>0</v>
      </c>
      <c r="F43" s="434">
        <v>0</v>
      </c>
      <c r="G43" s="434">
        <v>0</v>
      </c>
      <c r="H43" s="434">
        <v>0</v>
      </c>
      <c r="I43" s="434">
        <v>0</v>
      </c>
      <c r="J43" s="434">
        <v>0</v>
      </c>
      <c r="K43" s="434">
        <v>0</v>
      </c>
      <c r="L43" s="434">
        <v>0</v>
      </c>
      <c r="M43" s="434">
        <v>0</v>
      </c>
      <c r="N43" s="434">
        <v>0</v>
      </c>
      <c r="O43" s="434">
        <v>0</v>
      </c>
      <c r="P43" s="434">
        <v>0</v>
      </c>
      <c r="Q43" s="434">
        <v>0</v>
      </c>
      <c r="R43" s="434">
        <v>0</v>
      </c>
      <c r="S43" s="434">
        <v>0</v>
      </c>
      <c r="T43" s="434">
        <v>0</v>
      </c>
    </row>
    <row r="44" spans="2:20">
      <c r="B44" s="500" t="s">
        <v>72</v>
      </c>
      <c r="C44" s="434">
        <v>12165</v>
      </c>
      <c r="D44" s="434">
        <v>12170</v>
      </c>
      <c r="E44" s="434">
        <v>12218</v>
      </c>
      <c r="F44" s="434">
        <v>12303</v>
      </c>
      <c r="G44" s="434">
        <v>12332</v>
      </c>
      <c r="H44" s="434">
        <v>12376</v>
      </c>
      <c r="I44" s="434">
        <v>12234</v>
      </c>
      <c r="J44" s="434">
        <v>12260</v>
      </c>
      <c r="K44" s="434">
        <v>12313</v>
      </c>
      <c r="L44" s="434">
        <v>12353</v>
      </c>
      <c r="M44" s="434">
        <v>12382</v>
      </c>
      <c r="N44" s="434">
        <v>9735</v>
      </c>
      <c r="O44" s="434">
        <v>9751</v>
      </c>
      <c r="P44" s="434">
        <v>9616</v>
      </c>
      <c r="Q44" s="434">
        <v>9391</v>
      </c>
      <c r="R44" s="434">
        <v>9375</v>
      </c>
      <c r="S44" s="434">
        <v>9418</v>
      </c>
      <c r="T44" s="434">
        <v>9450</v>
      </c>
    </row>
    <row r="45" spans="2:20">
      <c r="B45" s="500" t="s">
        <v>73</v>
      </c>
      <c r="C45" s="434">
        <v>0</v>
      </c>
      <c r="D45" s="434">
        <v>-126</v>
      </c>
      <c r="E45" s="434">
        <v>-439</v>
      </c>
      <c r="F45" s="434">
        <v>-668</v>
      </c>
      <c r="G45" s="434">
        <v>-960</v>
      </c>
      <c r="H45" s="434">
        <v>-1235</v>
      </c>
      <c r="I45" s="434">
        <v>-1342</v>
      </c>
      <c r="J45" s="434">
        <v>-1584</v>
      </c>
      <c r="K45" s="434">
        <v>-1848</v>
      </c>
      <c r="L45" s="434">
        <v>-2194</v>
      </c>
      <c r="M45" s="434">
        <v>-2537</v>
      </c>
      <c r="N45" s="434">
        <v>0</v>
      </c>
      <c r="O45" s="434">
        <v>0</v>
      </c>
      <c r="P45" s="434">
        <v>0</v>
      </c>
      <c r="Q45" s="434">
        <v>0</v>
      </c>
      <c r="R45" s="434">
        <v>0</v>
      </c>
      <c r="S45" s="434">
        <v>0</v>
      </c>
      <c r="T45" s="434">
        <v>0</v>
      </c>
    </row>
    <row r="46" spans="2:20">
      <c r="B46" s="500" t="s">
        <v>40</v>
      </c>
      <c r="C46" s="434">
        <v>-403</v>
      </c>
      <c r="D46" s="434">
        <v>-474</v>
      </c>
      <c r="E46" s="434">
        <v>-285</v>
      </c>
      <c r="F46" s="434">
        <v>-90</v>
      </c>
      <c r="G46" s="434">
        <v>-75</v>
      </c>
      <c r="H46" s="434">
        <v>-361</v>
      </c>
      <c r="I46" s="434">
        <v>20</v>
      </c>
      <c r="J46" s="434">
        <v>239</v>
      </c>
      <c r="K46" s="434">
        <v>290</v>
      </c>
      <c r="L46" s="434">
        <v>57</v>
      </c>
      <c r="M46" s="434">
        <v>366</v>
      </c>
      <c r="N46" s="434">
        <v>701</v>
      </c>
      <c r="O46" s="434">
        <v>849</v>
      </c>
      <c r="P46" s="434">
        <v>948</v>
      </c>
      <c r="Q46" s="434">
        <v>1128</v>
      </c>
      <c r="R46" s="434">
        <v>1313</v>
      </c>
      <c r="S46" s="434">
        <v>1539</v>
      </c>
      <c r="T46" s="434">
        <v>1893</v>
      </c>
    </row>
    <row r="47" spans="2:20">
      <c r="B47" s="500" t="s">
        <v>221</v>
      </c>
      <c r="C47" s="434">
        <v>13</v>
      </c>
      <c r="D47" s="434">
        <v>-43</v>
      </c>
      <c r="E47" s="434">
        <v>-46</v>
      </c>
      <c r="F47" s="434">
        <v>-14</v>
      </c>
      <c r="G47" s="434">
        <v>-5</v>
      </c>
      <c r="H47" s="434">
        <v>-24</v>
      </c>
      <c r="I47" s="434">
        <v>-44</v>
      </c>
      <c r="J47" s="434">
        <v>-57</v>
      </c>
      <c r="K47" s="434">
        <v>-9</v>
      </c>
      <c r="L47" s="434">
        <v>-13</v>
      </c>
      <c r="M47" s="434">
        <v>26</v>
      </c>
      <c r="N47" s="434">
        <v>29</v>
      </c>
      <c r="O47" s="434">
        <v>-29</v>
      </c>
      <c r="P47" s="434">
        <v>-72</v>
      </c>
      <c r="Q47" s="434">
        <v>-33</v>
      </c>
      <c r="R47" s="434">
        <v>-124</v>
      </c>
      <c r="S47" s="434">
        <v>-74</v>
      </c>
      <c r="T47" s="434">
        <v>-26</v>
      </c>
    </row>
    <row r="48" spans="2:20">
      <c r="B48" s="505" t="s">
        <v>22</v>
      </c>
      <c r="C48" s="513">
        <f t="shared" ref="C48:L48" si="13">SUM(C43:C47)</f>
        <v>11775</v>
      </c>
      <c r="D48" s="513">
        <f t="shared" si="13"/>
        <v>11527</v>
      </c>
      <c r="E48" s="513">
        <f t="shared" si="13"/>
        <v>11448</v>
      </c>
      <c r="F48" s="513">
        <f t="shared" si="13"/>
        <v>11531</v>
      </c>
      <c r="G48" s="513">
        <f t="shared" si="13"/>
        <v>11292</v>
      </c>
      <c r="H48" s="513">
        <f t="shared" si="13"/>
        <v>10756</v>
      </c>
      <c r="I48" s="513">
        <f t="shared" si="13"/>
        <v>10868</v>
      </c>
      <c r="J48" s="513">
        <f t="shared" si="13"/>
        <v>10858</v>
      </c>
      <c r="K48" s="513">
        <f t="shared" si="13"/>
        <v>10746</v>
      </c>
      <c r="L48" s="513">
        <f t="shared" si="13"/>
        <v>10203</v>
      </c>
      <c r="M48" s="513">
        <f t="shared" ref="M48:R48" si="14">SUM(M43:M47)</f>
        <v>10237</v>
      </c>
      <c r="N48" s="513">
        <f t="shared" si="14"/>
        <v>10465</v>
      </c>
      <c r="O48" s="513">
        <f t="shared" si="14"/>
        <v>10571</v>
      </c>
      <c r="P48" s="513">
        <f t="shared" si="14"/>
        <v>10492</v>
      </c>
      <c r="Q48" s="513">
        <f t="shared" si="14"/>
        <v>10486</v>
      </c>
      <c r="R48" s="513">
        <f t="shared" si="14"/>
        <v>10564</v>
      </c>
      <c r="S48" s="513">
        <f t="shared" ref="S48:T48" si="15">SUM(S43:S47)</f>
        <v>10883</v>
      </c>
      <c r="T48" s="513">
        <f t="shared" si="15"/>
        <v>11317</v>
      </c>
    </row>
    <row r="49" spans="2:20">
      <c r="B49" s="505"/>
      <c r="C49" s="514"/>
      <c r="D49" s="514"/>
      <c r="E49" s="514"/>
      <c r="F49" s="513"/>
      <c r="G49" s="513"/>
      <c r="H49" s="513"/>
      <c r="I49" s="513"/>
      <c r="J49" s="513"/>
      <c r="K49" s="513"/>
      <c r="L49" s="513"/>
      <c r="M49" s="513"/>
      <c r="N49" s="513"/>
      <c r="O49" s="513"/>
      <c r="P49" s="513"/>
      <c r="Q49" s="513"/>
      <c r="R49" s="513"/>
      <c r="S49" s="513"/>
      <c r="T49" s="513"/>
    </row>
    <row r="50" spans="2:20" ht="12.75" thickBot="1">
      <c r="B50" s="505" t="s">
        <v>23</v>
      </c>
      <c r="C50" s="511">
        <f t="shared" ref="C50:L50" si="16">C41+C48</f>
        <v>13741</v>
      </c>
      <c r="D50" s="511">
        <f t="shared" si="16"/>
        <v>14466</v>
      </c>
      <c r="E50" s="511">
        <f t="shared" si="16"/>
        <v>13649</v>
      </c>
      <c r="F50" s="511">
        <f t="shared" si="16"/>
        <v>13507</v>
      </c>
      <c r="G50" s="511">
        <f t="shared" si="16"/>
        <v>13455</v>
      </c>
      <c r="H50" s="511">
        <f t="shared" si="16"/>
        <v>13746</v>
      </c>
      <c r="I50" s="511">
        <f t="shared" si="16"/>
        <v>12871</v>
      </c>
      <c r="J50" s="511">
        <f t="shared" si="16"/>
        <v>12399</v>
      </c>
      <c r="K50" s="511">
        <f t="shared" si="16"/>
        <v>12578</v>
      </c>
      <c r="L50" s="511">
        <f t="shared" si="16"/>
        <v>13447</v>
      </c>
      <c r="M50" s="511">
        <f t="shared" ref="M50:R50" si="17">M41+M48</f>
        <v>12377</v>
      </c>
      <c r="N50" s="511">
        <f t="shared" si="17"/>
        <v>11972</v>
      </c>
      <c r="O50" s="511">
        <f t="shared" si="17"/>
        <v>12113</v>
      </c>
      <c r="P50" s="511">
        <f t="shared" si="17"/>
        <v>13277</v>
      </c>
      <c r="Q50" s="511">
        <f t="shared" si="17"/>
        <v>12482</v>
      </c>
      <c r="R50" s="511">
        <f t="shared" si="17"/>
        <v>12269</v>
      </c>
      <c r="S50" s="511">
        <f t="shared" ref="S50:T50" si="18">S41+S48</f>
        <v>12661</v>
      </c>
      <c r="T50" s="511">
        <f t="shared" si="18"/>
        <v>14200</v>
      </c>
    </row>
  </sheetData>
  <mergeCells count="3">
    <mergeCell ref="A1:U1"/>
    <mergeCell ref="A2:U2"/>
    <mergeCell ref="A3:U3"/>
  </mergeCells>
  <pageMargins left="0.7" right="0.7" top="0.25" bottom="0.44" header="0.3" footer="0.3"/>
  <pageSetup scale="50" orientation="landscape" r:id="rId1"/>
  <headerFooter>
    <oddFooter>&amp;LActivision Blizzard, Inc.&amp;R&amp;P of &amp; 17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
  <sheetViews>
    <sheetView showGridLines="0" view="pageBreakPreview" zoomScaleNormal="100" zoomScaleSheetLayoutView="100" workbookViewId="0"/>
  </sheetViews>
  <sheetFormatPr defaultRowHeight="12"/>
  <cols>
    <col min="1" max="1" width="2.140625" style="71" customWidth="1"/>
    <col min="2" max="2" width="22.5703125" style="71" customWidth="1"/>
    <col min="3" max="3" width="2.5703125" style="71" customWidth="1"/>
    <col min="4" max="4" width="17.85546875" style="71" customWidth="1"/>
    <col min="5" max="5" width="2.5703125" style="71" customWidth="1"/>
    <col min="6" max="6" width="17.85546875" style="71" customWidth="1"/>
    <col min="7" max="7" width="2.140625" style="71" customWidth="1"/>
    <col min="8" max="8" width="17.85546875" style="71" customWidth="1"/>
    <col min="9" max="9" width="2.140625" style="71" customWidth="1"/>
    <col min="10" max="10" width="17.85546875" style="71" customWidth="1"/>
    <col min="11" max="16384" width="9.140625" style="71"/>
  </cols>
  <sheetData>
    <row r="1" spans="1:10" ht="15" customHeight="1">
      <c r="B1" s="592" t="s">
        <v>163</v>
      </c>
      <c r="C1" s="592"/>
      <c r="D1" s="592"/>
      <c r="E1" s="592"/>
      <c r="F1" s="592"/>
      <c r="G1" s="592"/>
      <c r="H1" s="592"/>
      <c r="I1" s="592"/>
      <c r="J1" s="592"/>
    </row>
    <row r="2" spans="1:10">
      <c r="B2" s="592" t="s">
        <v>295</v>
      </c>
      <c r="C2" s="592"/>
      <c r="D2" s="592"/>
      <c r="E2" s="592"/>
      <c r="F2" s="592"/>
      <c r="G2" s="592"/>
      <c r="H2" s="592"/>
      <c r="I2" s="592"/>
      <c r="J2" s="592"/>
    </row>
    <row r="3" spans="1:10" s="83" customFormat="1">
      <c r="B3" s="592" t="s">
        <v>77</v>
      </c>
      <c r="C3" s="592"/>
      <c r="D3" s="592"/>
      <c r="E3" s="592"/>
      <c r="F3" s="592"/>
      <c r="G3" s="592"/>
      <c r="H3" s="592"/>
      <c r="I3" s="592"/>
      <c r="J3" s="592"/>
    </row>
    <row r="4" spans="1:10">
      <c r="B4" s="546"/>
      <c r="C4" s="546"/>
      <c r="D4" s="579"/>
      <c r="E4" s="579"/>
      <c r="F4" s="546"/>
      <c r="G4" s="546"/>
      <c r="H4" s="546"/>
      <c r="I4" s="552"/>
      <c r="J4" s="552"/>
    </row>
    <row r="5" spans="1:10">
      <c r="B5" s="72"/>
      <c r="C5" s="72"/>
      <c r="D5" s="72"/>
      <c r="E5" s="72"/>
      <c r="F5" s="72"/>
      <c r="G5" s="72"/>
      <c r="I5" s="72"/>
    </row>
    <row r="6" spans="1:10" ht="15" customHeight="1">
      <c r="A6" s="83"/>
      <c r="B6" s="547"/>
      <c r="C6" s="548"/>
      <c r="D6" s="593" t="s">
        <v>287</v>
      </c>
      <c r="E6" s="593"/>
      <c r="F6" s="593"/>
      <c r="G6" s="593"/>
      <c r="H6" s="593"/>
      <c r="I6" s="593"/>
      <c r="J6" s="593"/>
    </row>
    <row r="7" spans="1:10" ht="12.75" thickBot="1">
      <c r="B7" s="389"/>
      <c r="C7" s="545"/>
      <c r="D7" s="549">
        <v>2012</v>
      </c>
      <c r="E7" s="578"/>
      <c r="F7" s="549">
        <v>2011</v>
      </c>
      <c r="G7" s="545"/>
      <c r="H7" s="549">
        <v>2010</v>
      </c>
      <c r="I7" s="551"/>
      <c r="J7" s="549">
        <v>2009</v>
      </c>
    </row>
    <row r="8" spans="1:10">
      <c r="B8" s="390" t="s">
        <v>217</v>
      </c>
      <c r="C8" s="388"/>
      <c r="D8" s="402"/>
      <c r="E8" s="388"/>
      <c r="F8" s="402"/>
      <c r="G8" s="388"/>
      <c r="H8" s="402"/>
      <c r="I8" s="388"/>
      <c r="J8" s="402"/>
    </row>
    <row r="9" spans="1:10">
      <c r="B9" s="392" t="s">
        <v>218</v>
      </c>
      <c r="C9" s="388"/>
      <c r="D9" s="403">
        <f>'Cashflow YE'!F27</f>
        <v>1345</v>
      </c>
      <c r="E9" s="388"/>
      <c r="F9" s="403">
        <v>952</v>
      </c>
      <c r="G9" s="388"/>
      <c r="H9" s="403">
        <v>1376</v>
      </c>
      <c r="I9" s="388"/>
      <c r="J9" s="403">
        <v>1183</v>
      </c>
    </row>
    <row r="10" spans="1:10">
      <c r="B10" s="392" t="s">
        <v>288</v>
      </c>
      <c r="C10" s="388"/>
      <c r="D10" s="403">
        <f>-'Cashflow YE'!F36</f>
        <v>73</v>
      </c>
      <c r="E10" s="388"/>
      <c r="F10" s="403">
        <v>72</v>
      </c>
      <c r="G10" s="388"/>
      <c r="H10" s="403">
        <v>97</v>
      </c>
      <c r="I10" s="388"/>
      <c r="J10" s="403">
        <v>69</v>
      </c>
    </row>
    <row r="11" spans="1:10">
      <c r="B11" s="392" t="s">
        <v>241</v>
      </c>
      <c r="C11" s="388"/>
      <c r="D11" s="78">
        <f>D9-D10</f>
        <v>1272</v>
      </c>
      <c r="E11" s="388"/>
      <c r="F11" s="78">
        <f>F9-F10</f>
        <v>880</v>
      </c>
      <c r="G11" s="388"/>
      <c r="H11" s="78">
        <f>H9-H10</f>
        <v>1279</v>
      </c>
      <c r="I11" s="388"/>
      <c r="J11" s="78">
        <f>J9-J10</f>
        <v>1114</v>
      </c>
    </row>
    <row r="13" spans="1:10">
      <c r="B13" s="71" t="s">
        <v>290</v>
      </c>
    </row>
    <row r="14" spans="1:10">
      <c r="B14" s="71" t="s">
        <v>289</v>
      </c>
    </row>
  </sheetData>
  <mergeCells count="4">
    <mergeCell ref="B1:J1"/>
    <mergeCell ref="B2:J2"/>
    <mergeCell ref="B3:J3"/>
    <mergeCell ref="D6:J6"/>
  </mergeCells>
  <pageMargins left="0.7" right="0.7" top="0.25" bottom="0.44" header="0.3" footer="0.3"/>
  <pageSetup scale="85" orientation="portrait" r:id="rId1"/>
  <headerFooter>
    <oddFooter>&amp;LActivision Blizzard, Inc.&amp;R&amp;P of &amp; 17</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0B475BF765D940A450C31ED13A521E" ma:contentTypeVersion="3" ma:contentTypeDescription="Create a new document." ma:contentTypeScope="" ma:versionID="f5ffdb8ae2c5d3f67cfd037ce0738b8f">
  <xsd:schema xmlns:xsd="http://www.w3.org/2001/XMLSchema" xmlns:xs="http://www.w3.org/2001/XMLSchema" xmlns:p="http://schemas.microsoft.com/office/2006/metadata/properties" xmlns:ns2="64b9f78e-1638-4d50-90be-e6eae294b66a" targetNamespace="http://schemas.microsoft.com/office/2006/metadata/properties" ma:root="true" ma:fieldsID="5042f8b442a5d28b9543a67b81eba02c" ns2:_="">
    <xsd:import namespace="64b9f78e-1638-4d50-90be-e6eae294b66a"/>
    <xsd:element name="properties">
      <xsd:complexType>
        <xsd:sequence>
          <xsd:element name="documentManagement">
            <xsd:complexType>
              <xsd:all>
                <xsd:element ref="ns2:Rank"/>
                <xsd:element ref="ns2:Acces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9f78e-1638-4d50-90be-e6eae294b66a" elementFormDefault="qualified">
    <xsd:import namespace="http://schemas.microsoft.com/office/2006/documentManagement/types"/>
    <xsd:import namespace="http://schemas.microsoft.com/office/infopath/2007/PartnerControls"/>
    <xsd:element name="Rank" ma:index="8" ma:displayName="Rank" ma:decimals="0" ma:default="0" ma:description="Ranked documents - 5 is top, 0 is bottom." ma:internalName="Rank">
      <xsd:simpleType>
        <xsd:restriction base="dms:Number">
          <xsd:maxInclusive value="5"/>
          <xsd:minInclusive value="0"/>
        </xsd:restriction>
      </xsd:simpleType>
    </xsd:element>
    <xsd:element name="Access" ma:index="9" ma:displayName="Access" ma:default="IR only" ma:description="Access" ma:format="Dropdown" ma:internalName="Access">
      <xsd:simpleType>
        <xsd:restriction base="dms:Choice">
          <xsd:enumeration value="IR only"/>
          <xsd:enumeration value="Finance workgroup"/>
          <xsd:enumeration value="All Activision Blizzar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documentManagement>
    <Rank xmlns="64b9f78e-1638-4d50-90be-e6eae294b66a">0</Rank>
    <Access xmlns="64b9f78e-1638-4d50-90be-e6eae294b66a">IR only</Access>
  </documentManagement>
</p:properties>
</file>

<file path=customXml/itemProps1.xml><?xml version="1.0" encoding="utf-8"?>
<ds:datastoreItem xmlns:ds="http://schemas.openxmlformats.org/officeDocument/2006/customXml" ds:itemID="{8D2EFF55-4B37-4E50-9EB5-1E17A40729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b9f78e-1638-4d50-90be-e6eae294b6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05C24C-E1D6-4E51-A6C0-44D4FAB53E91}">
  <ds:schemaRefs>
    <ds:schemaRef ds:uri="http://schemas.microsoft.com/office/2006/metadata/longProperties"/>
  </ds:schemaRefs>
</ds:datastoreItem>
</file>

<file path=customXml/itemProps3.xml><?xml version="1.0" encoding="utf-8"?>
<ds:datastoreItem xmlns:ds="http://schemas.openxmlformats.org/officeDocument/2006/customXml" ds:itemID="{0E84F52C-4B5C-4DFA-8FC9-9158506E61A3}">
  <ds:schemaRefs>
    <ds:schemaRef ds:uri="http://schemas.microsoft.com/sharepoint/v3/contenttype/forms"/>
  </ds:schemaRefs>
</ds:datastoreItem>
</file>

<file path=customXml/itemProps4.xml><?xml version="1.0" encoding="utf-8"?>
<ds:datastoreItem xmlns:ds="http://schemas.openxmlformats.org/officeDocument/2006/customXml" ds:itemID="{888A179F-0915-4EA1-B8FE-9C11ACF31CC0}">
  <ds:schemaRefs>
    <ds:schemaRef ds:uri="http://purl.org/dc/terms/"/>
    <ds:schemaRef ds:uri="http://schemas.microsoft.com/office/2006/metadata/properties"/>
    <ds:schemaRef ds:uri="http://purl.org/dc/elements/1.1/"/>
    <ds:schemaRef ds:uri="64b9f78e-1638-4d50-90be-e6eae294b66a"/>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19</vt:i4>
      </vt:variant>
    </vt:vector>
  </HeadingPairs>
  <TitlesOfParts>
    <vt:vector size="34" baseType="lpstr">
      <vt:lpstr>Non-GAAP Financial Measures</vt:lpstr>
      <vt:lpstr>QTD P&amp;L</vt:lpstr>
      <vt:lpstr>TTM P&amp;L</vt:lpstr>
      <vt:lpstr>NR and OI by Segment</vt:lpstr>
      <vt:lpstr>Rev Mix by Geographic Region</vt:lpstr>
      <vt:lpstr>Rev Mix by Platform</vt:lpstr>
      <vt:lpstr>Rev Mix by Distribution</vt:lpstr>
      <vt:lpstr>Balance Sheet</vt:lpstr>
      <vt:lpstr>Cashflow Supplemental</vt:lpstr>
      <vt:lpstr>Cashflow YE</vt:lpstr>
      <vt:lpstr>GAAP to Non-GAAP Measures 2012</vt:lpstr>
      <vt:lpstr>GAAP to Non-GAAP Measures 2011</vt:lpstr>
      <vt:lpstr>GAAP to Non-GAAP Measures 2010</vt:lpstr>
      <vt:lpstr>GAAP to Non-GAAP Measures 2009</vt:lpstr>
      <vt:lpstr>GAAP to Non-GAAP Measures 2008</vt:lpstr>
      <vt:lpstr>GAAP_nonGAAPreconCY</vt:lpstr>
      <vt:lpstr>GAAP_nonGAAPreconCYQTR</vt:lpstr>
      <vt:lpstr>'Balance Sheet'!Print_Area</vt:lpstr>
      <vt:lpstr>'Cashflow Supplemental'!Print_Area</vt:lpstr>
      <vt:lpstr>'GAAP to Non-GAAP Measures 2008'!Print_Area</vt:lpstr>
      <vt:lpstr>'GAAP to Non-GAAP Measures 2009'!Print_Area</vt:lpstr>
      <vt:lpstr>'GAAP to Non-GAAP Measures 2010'!Print_Area</vt:lpstr>
      <vt:lpstr>'GAAP to Non-GAAP Measures 2011'!Print_Area</vt:lpstr>
      <vt:lpstr>'GAAP to Non-GAAP Measures 2012'!Print_Area</vt:lpstr>
      <vt:lpstr>'Non-GAAP Financial Measures'!Print_Area</vt:lpstr>
      <vt:lpstr>'NR and OI by Segment'!Print_Area</vt:lpstr>
      <vt:lpstr>'QTD P&amp;L'!Print_Area</vt:lpstr>
      <vt:lpstr>'Rev Mix by Distribution'!Print_Area</vt:lpstr>
      <vt:lpstr>'Rev Mix by Geographic Region'!Print_Area</vt:lpstr>
      <vt:lpstr>'TTM P&amp;L'!Print_Area</vt:lpstr>
      <vt:lpstr>'GAAP to Non-GAAP Measures 2010'!Print_Titles</vt:lpstr>
      <vt:lpstr>'GAAP to Non-GAAP Measures 2011'!Print_Titles</vt:lpstr>
      <vt:lpstr>'QTD P&amp;L'!Print_Titles</vt:lpstr>
      <vt:lpstr>'TTM P&amp;L'!Print_Titles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 Kristine</dc:creator>
  <cp:lastModifiedBy>Voong, Wendy</cp:lastModifiedBy>
  <cp:lastPrinted>2012-11-12T18:57:39Z</cp:lastPrinted>
  <dcterms:created xsi:type="dcterms:W3CDTF">2010-07-21T13:25:15Z</dcterms:created>
  <dcterms:modified xsi:type="dcterms:W3CDTF">2013-02-07T17:34:46Z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0x010100F50B475BF765D940A450C31ED13A521E</vt:lpwstr>
  </property>
</Properties>
</file>