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EBITDA" sheetId="85" r:id="rId4"/>
    <sheet name="NR and OI by Segment" sheetId="61" r:id="rId5"/>
    <sheet name="Rev Mix by Geographic Region" sheetId="62" r:id="rId6"/>
    <sheet name="Rev Mix by Platform" sheetId="63"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3" sheetId="84" r:id="rId13"/>
    <sheet name="GAAP to Non-GAAP Measures 2012" sheetId="82" r:id="rId14"/>
    <sheet name="GAAP to Non-GAAP Measures 2011" sheetId="64" r:id="rId15"/>
    <sheet name="GAAP to Non-GAAP Measures 2010" sheetId="65" r:id="rId16"/>
  </sheets>
  <definedNames>
    <definedName name="d" localSheetId="9">#REF!</definedName>
    <definedName name="d" localSheetId="3">#REF!</definedName>
    <definedName name="d">#REF!</definedName>
    <definedName name="GAAP_nonGAAPreconCY" localSheetId="15">'GAAP to Non-GAAP Measures 2010'!#REF!</definedName>
    <definedName name="GAAP_nonGAAPreconCY" localSheetId="13">'GAAP to Non-GAAP Measures 2012'!#REF!</definedName>
    <definedName name="GAAP_nonGAAPreconCY" localSheetId="12">'GAAP to Non-GAAP Measures 2013'!#REF!</definedName>
    <definedName name="GAAP_nonGAAPreconCY">'GAAP to Non-GAAP Measures 2011'!$B$6:$N$22</definedName>
    <definedName name="GAAP_nonGAAPreconCYQTR" localSheetId="15">'GAAP to Non-GAAP Measures 2010'!#REF!</definedName>
    <definedName name="GAAP_nonGAAPreconCYQTR" localSheetId="13">'GAAP to Non-GAAP Measures 2012'!#REF!</definedName>
    <definedName name="GAAP_nonGAAPreconCYQTR" localSheetId="12">'GAAP to Non-GAAP Measures 2013'!#REF!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5">#REF!</definedName>
    <definedName name="GAAP_NONGAAPreconPY" localSheetId="13">#REF!</definedName>
    <definedName name="GAAP_NONGAAPreconPY" localSheetId="12">#REF!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5">#REF!</definedName>
    <definedName name="GAAP_NONGAAPreconPYQTR" localSheetId="13">#REF!</definedName>
    <definedName name="GAAP_NONGAAPreconPYQTR" localSheetId="12">#REF!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5">#REF!</definedName>
    <definedName name="PR_PlatformYTD" localSheetId="13">#REF!</definedName>
    <definedName name="PR_PlatformYTD" localSheetId="12">#REF!</definedName>
    <definedName name="PR_PlatformYTD">#REF!</definedName>
    <definedName name="_xlnm.Print_Area" localSheetId="8">'Balance Sheet'!$A$1:$O$52</definedName>
    <definedName name="_xlnm.Print_Area" localSheetId="10">'Cashflow Supplemental'!$A$1:$H$17</definedName>
    <definedName name="_xlnm.Print_Area" localSheetId="9">'Cashflow Supplemental Qtrly'!$A$1:$O$22</definedName>
    <definedName name="_xlnm.Print_Area" localSheetId="11">'Cashflow YE'!$A$1:$H$58</definedName>
    <definedName name="_xlnm.Print_Area" localSheetId="3">EBITDA!$A$1:$S$25</definedName>
    <definedName name="_xlnm.Print_Area" localSheetId="15">'GAAP to Non-GAAP Measures 2010'!$B$1:$N$89</definedName>
    <definedName name="_xlnm.Print_Area" localSheetId="14">'GAAP to Non-GAAP Measures 2011'!$B$1:$N$86</definedName>
    <definedName name="_xlnm.Print_Area" localSheetId="13">'GAAP to Non-GAAP Measures 2012'!$B$1:$N$74</definedName>
    <definedName name="_xlnm.Print_Area" localSheetId="12">'GAAP to Non-GAAP Measures 2013'!$B$1:$N$62</definedName>
    <definedName name="_xlnm.Print_Area" localSheetId="0">'Non-GAAP Financial Measures'!$A$1:$R$28</definedName>
    <definedName name="_xlnm.Print_Area" localSheetId="4">'NR and OI by Segment'!$B$1:$Q$39</definedName>
    <definedName name="_xlnm.Print_Area" localSheetId="1">'QTD P&amp;L'!$A$1:$Q$101</definedName>
    <definedName name="_xlnm.Print_Area" localSheetId="7">'Rev Mix by Distribution'!$A$1:$O$33</definedName>
    <definedName name="_xlnm.Print_Area" localSheetId="5">'Rev Mix by Geographic Region'!$B$1:$Q$31</definedName>
    <definedName name="_xlnm.Print_Area" localSheetId="6">'Rev Mix by Platform'!$A$1:$Q$59</definedName>
    <definedName name="_xlnm.Print_Area" localSheetId="2">'TTM P&amp;L'!$A$1:$Q$108</definedName>
    <definedName name="_xlnm.Print_Titles" localSheetId="3">EBITDA!$1:$4</definedName>
    <definedName name="_xlnm.Print_Titles" localSheetId="15">'GAAP to Non-GAAP Measures 2010'!$1:$5</definedName>
    <definedName name="_xlnm.Print_Titles" localSheetId="14">'GAAP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O15" i="86" l="1"/>
  <c r="N15" i="86"/>
  <c r="M15" i="86"/>
  <c r="L15" i="86"/>
  <c r="K15" i="86"/>
  <c r="J15" i="86"/>
  <c r="I15" i="86"/>
  <c r="H15" i="86"/>
  <c r="G15" i="86"/>
  <c r="F15" i="86"/>
  <c r="E15" i="86"/>
  <c r="D15" i="86"/>
  <c r="O14" i="86"/>
  <c r="N14" i="86"/>
  <c r="M14" i="86"/>
  <c r="L14" i="86"/>
  <c r="L16" i="86" s="1"/>
  <c r="K14" i="86"/>
  <c r="K16" i="86" s="1"/>
  <c r="J14" i="86"/>
  <c r="J16" i="86" s="1"/>
  <c r="I14" i="86"/>
  <c r="H14" i="86"/>
  <c r="G14" i="86"/>
  <c r="F14" i="86"/>
  <c r="F16" i="86" s="1"/>
  <c r="E14" i="86"/>
  <c r="D14" i="86"/>
  <c r="O16" i="86"/>
  <c r="N16" i="86"/>
  <c r="M16" i="86"/>
  <c r="H16" i="86"/>
  <c r="G16" i="86"/>
  <c r="E16" i="86"/>
  <c r="D16" i="86"/>
  <c r="O12" i="86"/>
  <c r="N12" i="86"/>
  <c r="M12" i="86"/>
  <c r="L12" i="86"/>
  <c r="K12" i="86"/>
  <c r="J12" i="86"/>
  <c r="I12" i="86"/>
  <c r="H12" i="86"/>
  <c r="G12" i="86"/>
  <c r="F12" i="86"/>
  <c r="E12" i="86"/>
  <c r="D12" i="86"/>
  <c r="I16" i="86" l="1"/>
  <c r="E16" i="85"/>
  <c r="E11" i="85"/>
  <c r="H19" i="85"/>
  <c r="I17" i="85"/>
  <c r="I16" i="85"/>
  <c r="G11" i="85"/>
  <c r="K10" i="85"/>
  <c r="L17" i="85"/>
  <c r="L16" i="85"/>
  <c r="M17" i="85"/>
  <c r="M16" i="85"/>
  <c r="O11" i="85"/>
  <c r="O10" i="85"/>
  <c r="P17" i="85"/>
  <c r="P16" i="85"/>
  <c r="P11" i="85"/>
  <c r="P9" i="85"/>
  <c r="P36" i="78" l="1"/>
  <c r="O36" i="78"/>
  <c r="N36" i="78"/>
  <c r="M36" i="78"/>
  <c r="L36" i="78"/>
  <c r="K36" i="78"/>
  <c r="J36" i="78"/>
  <c r="I36" i="78"/>
  <c r="R19" i="85" l="1"/>
  <c r="R18" i="85"/>
  <c r="R15" i="85"/>
  <c r="R12" i="85"/>
  <c r="R9" i="85"/>
  <c r="M42" i="84" l="1"/>
  <c r="E51" i="84" s="1"/>
  <c r="E17" i="85" l="1"/>
  <c r="H11" i="85"/>
  <c r="I10" i="85"/>
  <c r="R16" i="85" l="1"/>
  <c r="R17" i="85"/>
  <c r="I11" i="85" l="1"/>
  <c r="R10" i="85" l="1"/>
  <c r="R20" i="85" l="1"/>
  <c r="N11" i="85" l="1"/>
  <c r="M11" i="85"/>
  <c r="L11" i="85"/>
  <c r="K11" i="85"/>
  <c r="K13" i="85" s="1"/>
  <c r="K21" i="85" s="1"/>
  <c r="J11" i="85"/>
  <c r="J13" i="85" s="1"/>
  <c r="J21" i="85" s="1"/>
  <c r="I13" i="85"/>
  <c r="I21" i="85" s="1"/>
  <c r="G13" i="85"/>
  <c r="G21" i="85" s="1"/>
  <c r="F11" i="85"/>
  <c r="P13" i="85"/>
  <c r="P21" i="85" s="1"/>
  <c r="O13" i="85"/>
  <c r="O21" i="85" s="1"/>
  <c r="L13" i="85"/>
  <c r="L21" i="85" s="1"/>
  <c r="H13" i="85"/>
  <c r="H21" i="85" s="1"/>
  <c r="E13" i="85"/>
  <c r="E21" i="85" s="1"/>
  <c r="F53" i="84"/>
  <c r="B47" i="84"/>
  <c r="L44" i="84"/>
  <c r="K44" i="84"/>
  <c r="J44" i="84"/>
  <c r="I44" i="84"/>
  <c r="H44" i="84"/>
  <c r="G44" i="84"/>
  <c r="F44" i="84"/>
  <c r="E44" i="84"/>
  <c r="M43" i="84"/>
  <c r="E52" i="84" s="1"/>
  <c r="M41" i="84"/>
  <c r="E50" i="84" s="1"/>
  <c r="M40" i="84"/>
  <c r="E49" i="84" s="1"/>
  <c r="M39" i="84"/>
  <c r="E48" i="84" s="1"/>
  <c r="N50" i="59"/>
  <c r="N38" i="59"/>
  <c r="N43" i="59" s="1"/>
  <c r="N19" i="59"/>
  <c r="N30" i="59" s="1"/>
  <c r="N24" i="76"/>
  <c r="N27" i="76" s="1"/>
  <c r="N18" i="76"/>
  <c r="N17" i="76"/>
  <c r="N11" i="76"/>
  <c r="N14" i="76" s="1"/>
  <c r="P43" i="63"/>
  <c r="P45" i="63" s="1"/>
  <c r="P48" i="63" s="1"/>
  <c r="P31" i="63"/>
  <c r="P29" i="63"/>
  <c r="P28" i="63"/>
  <c r="P27" i="63"/>
  <c r="P26" i="63"/>
  <c r="P25" i="63"/>
  <c r="P16" i="63"/>
  <c r="P18" i="63" s="1"/>
  <c r="P21" i="63" s="1"/>
  <c r="P27" i="62"/>
  <c r="P19" i="62"/>
  <c r="P18" i="62"/>
  <c r="P17" i="62"/>
  <c r="P14" i="62"/>
  <c r="P12" i="62"/>
  <c r="P22" i="61"/>
  <c r="P31" i="61" s="1"/>
  <c r="P12" i="61"/>
  <c r="P16" i="61" s="1"/>
  <c r="P86" i="78"/>
  <c r="P85" i="78"/>
  <c r="P82" i="78"/>
  <c r="P80" i="78"/>
  <c r="P78" i="78"/>
  <c r="P75" i="78"/>
  <c r="P74" i="78"/>
  <c r="P72" i="78"/>
  <c r="P71" i="78"/>
  <c r="P69" i="78"/>
  <c r="P67" i="78"/>
  <c r="P65" i="78"/>
  <c r="P91" i="78" s="1"/>
  <c r="P64" i="78"/>
  <c r="P90" i="78" s="1"/>
  <c r="P63" i="78"/>
  <c r="P89" i="78" s="1"/>
  <c r="P40" i="78"/>
  <c r="P39" i="78"/>
  <c r="P35" i="78"/>
  <c r="P34" i="78"/>
  <c r="P31" i="78"/>
  <c r="P30" i="78"/>
  <c r="P27" i="78"/>
  <c r="P25" i="78"/>
  <c r="P23" i="78"/>
  <c r="P20" i="78"/>
  <c r="P19" i="78"/>
  <c r="P18" i="78"/>
  <c r="P17" i="78"/>
  <c r="P15" i="78"/>
  <c r="P14" i="78"/>
  <c r="P12" i="78"/>
  <c r="P10" i="78"/>
  <c r="P99" i="57"/>
  <c r="P97" i="57"/>
  <c r="P94" i="57"/>
  <c r="P93" i="57"/>
  <c r="P92" i="57"/>
  <c r="P91" i="57"/>
  <c r="P90" i="57"/>
  <c r="P89" i="57"/>
  <c r="P88" i="57"/>
  <c r="P71" i="57"/>
  <c r="P95" i="57" s="1"/>
  <c r="P60" i="57"/>
  <c r="P85" i="57" s="1"/>
  <c r="P59" i="57"/>
  <c r="P84" i="57" s="1"/>
  <c r="P55" i="57"/>
  <c r="P53" i="57"/>
  <c r="P50" i="57"/>
  <c r="P49" i="57"/>
  <c r="P48" i="57"/>
  <c r="P47" i="57"/>
  <c r="P46" i="57"/>
  <c r="P45" i="57"/>
  <c r="P44" i="57"/>
  <c r="P43" i="57"/>
  <c r="P42" i="57"/>
  <c r="P39" i="57"/>
  <c r="P38" i="57"/>
  <c r="P20" i="57"/>
  <c r="P51" i="57" s="1"/>
  <c r="R11" i="85" l="1"/>
  <c r="R13" i="85" s="1"/>
  <c r="R21" i="85" s="1"/>
  <c r="P99" i="78"/>
  <c r="P94" i="78"/>
  <c r="P51" i="78"/>
  <c r="E53" i="84"/>
  <c r="N19" i="76"/>
  <c r="M13" i="85"/>
  <c r="M21" i="85" s="1"/>
  <c r="F13" i="85"/>
  <c r="F21" i="85" s="1"/>
  <c r="N13" i="85"/>
  <c r="N21" i="85" s="1"/>
  <c r="P47" i="78"/>
  <c r="P49" i="78"/>
  <c r="P55" i="78"/>
  <c r="P97" i="78"/>
  <c r="P103" i="78"/>
  <c r="P46" i="78"/>
  <c r="P50" i="78"/>
  <c r="P57" i="78"/>
  <c r="P105" i="78"/>
  <c r="P20" i="62"/>
  <c r="P52" i="78"/>
  <c r="P96" i="78"/>
  <c r="P100" i="78"/>
  <c r="M44" i="84"/>
  <c r="N52" i="59"/>
  <c r="P30" i="63"/>
  <c r="P32" i="63" s="1"/>
  <c r="P33" i="61"/>
  <c r="P44" i="78"/>
  <c r="P21" i="57"/>
  <c r="P72" i="57"/>
  <c r="O89" i="57"/>
  <c r="O88" i="57"/>
  <c r="O42" i="57"/>
  <c r="F35" i="84"/>
  <c r="B30" i="84"/>
  <c r="L27" i="84"/>
  <c r="K27" i="84"/>
  <c r="J27" i="84"/>
  <c r="I27" i="84"/>
  <c r="H27" i="84"/>
  <c r="G27" i="84"/>
  <c r="F27" i="84"/>
  <c r="E27" i="84"/>
  <c r="M26" i="84"/>
  <c r="E34" i="84" s="1"/>
  <c r="M25" i="84"/>
  <c r="E33" i="84" s="1"/>
  <c r="M24" i="84"/>
  <c r="E32" i="84" s="1"/>
  <c r="M23" i="84"/>
  <c r="E31" i="84" s="1"/>
  <c r="M50" i="59"/>
  <c r="M38" i="59"/>
  <c r="M43" i="59" s="1"/>
  <c r="M19" i="59"/>
  <c r="M30" i="59" s="1"/>
  <c r="M24" i="76"/>
  <c r="M27" i="76" s="1"/>
  <c r="M18" i="76"/>
  <c r="M17" i="76"/>
  <c r="M11" i="76"/>
  <c r="M14" i="76" s="1"/>
  <c r="O43" i="63"/>
  <c r="O45" i="63" s="1"/>
  <c r="O48" i="63" s="1"/>
  <c r="O31" i="63"/>
  <c r="O29" i="63"/>
  <c r="O28" i="63"/>
  <c r="O27" i="63"/>
  <c r="O26" i="63"/>
  <c r="O25" i="63"/>
  <c r="O16" i="63"/>
  <c r="O18" i="63" s="1"/>
  <c r="O21" i="63" s="1"/>
  <c r="O27" i="62"/>
  <c r="O19" i="62"/>
  <c r="O18" i="62"/>
  <c r="O17" i="62"/>
  <c r="O14" i="62"/>
  <c r="O12" i="62"/>
  <c r="O22" i="61"/>
  <c r="O31" i="61" s="1"/>
  <c r="O12" i="61"/>
  <c r="O16" i="61" s="1"/>
  <c r="O86" i="78"/>
  <c r="O85" i="78"/>
  <c r="O82" i="78"/>
  <c r="O80" i="78"/>
  <c r="O78" i="78"/>
  <c r="O75" i="78"/>
  <c r="O74" i="78"/>
  <c r="O72" i="78"/>
  <c r="O71" i="78"/>
  <c r="O69" i="78"/>
  <c r="O67" i="78"/>
  <c r="O65" i="78"/>
  <c r="O91" i="78" s="1"/>
  <c r="O64" i="78"/>
  <c r="O90" i="78" s="1"/>
  <c r="O63" i="78"/>
  <c r="O89" i="78" s="1"/>
  <c r="O40" i="78"/>
  <c r="O39" i="78"/>
  <c r="O35" i="78"/>
  <c r="O34" i="78"/>
  <c r="O31" i="78"/>
  <c r="O30" i="78"/>
  <c r="O27" i="78"/>
  <c r="O25" i="78"/>
  <c r="O23" i="78"/>
  <c r="O20" i="78"/>
  <c r="O19" i="78"/>
  <c r="O18" i="78"/>
  <c r="O17" i="78"/>
  <c r="O15" i="78"/>
  <c r="O14" i="78"/>
  <c r="O12" i="78"/>
  <c r="O10" i="78"/>
  <c r="O99" i="57"/>
  <c r="O97" i="57"/>
  <c r="O94" i="57"/>
  <c r="O93" i="57"/>
  <c r="O92" i="57"/>
  <c r="O91" i="57"/>
  <c r="O90" i="57"/>
  <c r="O71" i="57"/>
  <c r="O95" i="57" s="1"/>
  <c r="O60" i="57"/>
  <c r="O85" i="57" s="1"/>
  <c r="O59" i="57"/>
  <c r="O84" i="57" s="1"/>
  <c r="O55" i="57"/>
  <c r="O53" i="57"/>
  <c r="O50" i="57"/>
  <c r="O49" i="57"/>
  <c r="O48" i="57"/>
  <c r="O47" i="57"/>
  <c r="O46" i="57"/>
  <c r="O45" i="57"/>
  <c r="O44" i="57"/>
  <c r="O43" i="57"/>
  <c r="O39" i="57"/>
  <c r="O38" i="57"/>
  <c r="O20" i="57"/>
  <c r="O51" i="57" s="1"/>
  <c r="N10" i="78"/>
  <c r="N88" i="57"/>
  <c r="N92" i="57"/>
  <c r="O94" i="78" l="1"/>
  <c r="O44" i="78"/>
  <c r="P52" i="57"/>
  <c r="P23" i="57"/>
  <c r="P96" i="57"/>
  <c r="P74" i="57"/>
  <c r="O105" i="78"/>
  <c r="O99" i="78"/>
  <c r="O50" i="78"/>
  <c r="O46" i="78"/>
  <c r="O47" i="78"/>
  <c r="O57" i="78"/>
  <c r="O30" i="63"/>
  <c r="O32" i="63" s="1"/>
  <c r="O49" i="78"/>
  <c r="O55" i="78"/>
  <c r="O97" i="78"/>
  <c r="O103" i="78"/>
  <c r="M19" i="76"/>
  <c r="O51" i="78"/>
  <c r="O52" i="78"/>
  <c r="O96" i="78"/>
  <c r="O100" i="78"/>
  <c r="E35" i="84"/>
  <c r="M27" i="84"/>
  <c r="M52" i="59"/>
  <c r="O20" i="62"/>
  <c r="O33" i="61"/>
  <c r="O21" i="57"/>
  <c r="O72" i="57"/>
  <c r="J28" i="63"/>
  <c r="J27" i="63"/>
  <c r="J26" i="63"/>
  <c r="J25" i="63"/>
  <c r="P76" i="57" l="1"/>
  <c r="P100" i="57" s="1"/>
  <c r="P98" i="57"/>
  <c r="P54" i="57"/>
  <c r="P25" i="57"/>
  <c r="P56" i="57" s="1"/>
  <c r="O52" i="57"/>
  <c r="O23" i="57"/>
  <c r="O96" i="57"/>
  <c r="O74" i="57"/>
  <c r="J31" i="63"/>
  <c r="I31" i="63"/>
  <c r="H31" i="63"/>
  <c r="G31" i="63"/>
  <c r="F31" i="63"/>
  <c r="E31" i="63"/>
  <c r="O76" i="57" l="1"/>
  <c r="O100" i="57" s="1"/>
  <c r="O98" i="57"/>
  <c r="O54" i="57"/>
  <c r="O25" i="57"/>
  <c r="O56" i="57" s="1"/>
  <c r="M31" i="63"/>
  <c r="N31" i="63"/>
  <c r="K31" i="63"/>
  <c r="L31" i="63"/>
  <c r="I27" i="78"/>
  <c r="M27" i="78"/>
  <c r="N27" i="78"/>
  <c r="F19" i="84" l="1"/>
  <c r="B14" i="84"/>
  <c r="L11" i="84"/>
  <c r="K11" i="84"/>
  <c r="I11" i="84"/>
  <c r="H11" i="84"/>
  <c r="F11" i="84"/>
  <c r="E11" i="84"/>
  <c r="M10" i="84"/>
  <c r="E18" i="84" s="1"/>
  <c r="M9" i="84"/>
  <c r="E17" i="84" s="1"/>
  <c r="M8" i="84"/>
  <c r="E16" i="84" s="1"/>
  <c r="J11" i="84"/>
  <c r="G11" i="84"/>
  <c r="L50" i="59"/>
  <c r="L38" i="59"/>
  <c r="L43" i="59" s="1"/>
  <c r="L19" i="59"/>
  <c r="L30" i="59" s="1"/>
  <c r="L24" i="76"/>
  <c r="L27" i="76" s="1"/>
  <c r="L18" i="76"/>
  <c r="L17" i="76"/>
  <c r="L11" i="76"/>
  <c r="L14" i="76" s="1"/>
  <c r="N43" i="63"/>
  <c r="N29" i="63"/>
  <c r="N28" i="63"/>
  <c r="N27" i="63"/>
  <c r="N26" i="63"/>
  <c r="N25" i="63"/>
  <c r="N16" i="63"/>
  <c r="N27" i="62"/>
  <c r="N19" i="62"/>
  <c r="N18" i="62"/>
  <c r="N17" i="62"/>
  <c r="N14" i="62"/>
  <c r="N12" i="62"/>
  <c r="N86" i="78"/>
  <c r="N85" i="78"/>
  <c r="N82" i="78"/>
  <c r="N80" i="78"/>
  <c r="N78" i="78"/>
  <c r="N75" i="78"/>
  <c r="N74" i="78"/>
  <c r="N72" i="78"/>
  <c r="N71" i="78"/>
  <c r="N69" i="78"/>
  <c r="N67" i="78"/>
  <c r="N35" i="78"/>
  <c r="N34" i="78"/>
  <c r="N31" i="78"/>
  <c r="N30" i="78"/>
  <c r="N25" i="78"/>
  <c r="N23" i="78"/>
  <c r="N20" i="78"/>
  <c r="N19" i="78"/>
  <c r="N18" i="78"/>
  <c r="N17" i="78"/>
  <c r="N15" i="78"/>
  <c r="N14" i="78"/>
  <c r="N12" i="78"/>
  <c r="M7" i="84" l="1"/>
  <c r="L52" i="59"/>
  <c r="L19" i="76"/>
  <c r="N45" i="63"/>
  <c r="N48" i="63" s="1"/>
  <c r="N18" i="63"/>
  <c r="N21" i="63" s="1"/>
  <c r="N30" i="63"/>
  <c r="N32" i="63" s="1"/>
  <c r="N20" i="62"/>
  <c r="N22" i="61"/>
  <c r="N12" i="61"/>
  <c r="N16" i="61" s="1"/>
  <c r="N31" i="61" l="1"/>
  <c r="N33" i="61"/>
  <c r="E15" i="84"/>
  <c r="E19" i="84" s="1"/>
  <c r="M11" i="84"/>
  <c r="L82" i="78" l="1"/>
  <c r="K82" i="78"/>
  <c r="J82" i="78"/>
  <c r="L27" i="78"/>
  <c r="K27" i="78"/>
  <c r="J27" i="78"/>
  <c r="N105" i="78"/>
  <c r="N103" i="78"/>
  <c r="N100" i="78"/>
  <c r="N99" i="78"/>
  <c r="N97" i="78"/>
  <c r="N96" i="78"/>
  <c r="N94" i="78"/>
  <c r="N65" i="78"/>
  <c r="N91" i="78" s="1"/>
  <c r="N64" i="78"/>
  <c r="N90" i="78" s="1"/>
  <c r="N63" i="78"/>
  <c r="N89" i="78" s="1"/>
  <c r="N57" i="78"/>
  <c r="N55" i="78"/>
  <c r="N50" i="78"/>
  <c r="N49" i="78"/>
  <c r="N47" i="78"/>
  <c r="N46" i="78"/>
  <c r="N44" i="78"/>
  <c r="N40" i="78"/>
  <c r="N39" i="78"/>
  <c r="N52" i="78"/>
  <c r="N51" i="78"/>
  <c r="N99" i="57"/>
  <c r="N97" i="57"/>
  <c r="N94" i="57"/>
  <c r="N93" i="57"/>
  <c r="N91" i="57"/>
  <c r="N90" i="57"/>
  <c r="N89" i="57"/>
  <c r="N60" i="57"/>
  <c r="N85" i="57" s="1"/>
  <c r="N59" i="57"/>
  <c r="N84" i="57" s="1"/>
  <c r="N55" i="57"/>
  <c r="N53" i="57"/>
  <c r="N50" i="57"/>
  <c r="N49" i="57"/>
  <c r="N48" i="57"/>
  <c r="N47" i="57"/>
  <c r="N45" i="57"/>
  <c r="N44" i="57"/>
  <c r="N42" i="57"/>
  <c r="N39" i="57"/>
  <c r="N38" i="57"/>
  <c r="N46" i="57"/>
  <c r="N20" i="57"/>
  <c r="D10" i="81"/>
  <c r="H11" i="81"/>
  <c r="F11" i="81"/>
  <c r="J39" i="82"/>
  <c r="G39" i="82"/>
  <c r="J23" i="82"/>
  <c r="G23" i="82"/>
  <c r="J7" i="82"/>
  <c r="G7" i="82"/>
  <c r="J43" i="64"/>
  <c r="G43" i="64"/>
  <c r="J25" i="64"/>
  <c r="G25" i="64"/>
  <c r="J7" i="64"/>
  <c r="G7" i="64"/>
  <c r="J62" i="65"/>
  <c r="G62" i="65"/>
  <c r="J45" i="65"/>
  <c r="G45" i="65"/>
  <c r="J26" i="65"/>
  <c r="G26" i="65"/>
  <c r="J7" i="65"/>
  <c r="G7" i="65"/>
  <c r="L68" i="57"/>
  <c r="L65" i="57"/>
  <c r="L15" i="57"/>
  <c r="L12" i="57"/>
  <c r="K68" i="57"/>
  <c r="K65" i="57"/>
  <c r="K15" i="57"/>
  <c r="K12" i="57"/>
  <c r="J68" i="57"/>
  <c r="J65" i="57"/>
  <c r="J15" i="57"/>
  <c r="J12" i="57"/>
  <c r="I73" i="78"/>
  <c r="I70" i="78"/>
  <c r="I16" i="78"/>
  <c r="I13" i="78"/>
  <c r="I68" i="57"/>
  <c r="I65" i="57"/>
  <c r="I15" i="57"/>
  <c r="I12" i="57"/>
  <c r="H68" i="57"/>
  <c r="H65" i="57"/>
  <c r="H15" i="57"/>
  <c r="H12" i="57"/>
  <c r="G68" i="57"/>
  <c r="G65" i="57"/>
  <c r="G15" i="57"/>
  <c r="G12" i="57"/>
  <c r="F68" i="57"/>
  <c r="F65" i="57"/>
  <c r="F15" i="57"/>
  <c r="F12" i="57"/>
  <c r="E68" i="57"/>
  <c r="E65" i="57"/>
  <c r="E15" i="57"/>
  <c r="E12" i="57"/>
  <c r="N51" i="57" l="1"/>
  <c r="N21" i="57"/>
  <c r="N43" i="57"/>
  <c r="N71" i="57"/>
  <c r="M70" i="78"/>
  <c r="M73" i="78"/>
  <c r="M16" i="78"/>
  <c r="M13" i="78"/>
  <c r="M68" i="57"/>
  <c r="M65" i="57"/>
  <c r="M15" i="57"/>
  <c r="M12" i="57"/>
  <c r="N13" i="78" l="1"/>
  <c r="P13" i="78"/>
  <c r="N16" i="78"/>
  <c r="N48" i="78" s="1"/>
  <c r="P16" i="78"/>
  <c r="P48" i="78" s="1"/>
  <c r="N70" i="78"/>
  <c r="N76" i="78" s="1"/>
  <c r="N77" i="78" s="1"/>
  <c r="N79" i="78" s="1"/>
  <c r="N81" i="78" s="1"/>
  <c r="P70" i="78"/>
  <c r="N73" i="78"/>
  <c r="N98" i="78" s="1"/>
  <c r="P73" i="78"/>
  <c r="P98" i="78" s="1"/>
  <c r="O13" i="78"/>
  <c r="O45" i="78" s="1"/>
  <c r="O70" i="78"/>
  <c r="O16" i="78"/>
  <c r="O48" i="78" s="1"/>
  <c r="O73" i="78"/>
  <c r="O98" i="78" s="1"/>
  <c r="N45" i="78"/>
  <c r="N95" i="57"/>
  <c r="N72" i="57"/>
  <c r="N52" i="57"/>
  <c r="N23" i="57"/>
  <c r="F67" i="82"/>
  <c r="B62" i="82"/>
  <c r="L59" i="82"/>
  <c r="K59" i="82"/>
  <c r="J59" i="82"/>
  <c r="I59" i="82"/>
  <c r="H59" i="82"/>
  <c r="G59" i="82"/>
  <c r="F59" i="82"/>
  <c r="E59" i="82"/>
  <c r="M58" i="82"/>
  <c r="E66" i="82" s="1"/>
  <c r="M57" i="82"/>
  <c r="E65" i="82" s="1"/>
  <c r="M56" i="82"/>
  <c r="E64" i="82" s="1"/>
  <c r="M55" i="82"/>
  <c r="E63" i="82" s="1"/>
  <c r="F47" i="75"/>
  <c r="F38" i="75"/>
  <c r="F27" i="75"/>
  <c r="D9" i="81" s="1"/>
  <c r="D11" i="81" s="1"/>
  <c r="K50" i="59"/>
  <c r="K38" i="59"/>
  <c r="K43" i="59" s="1"/>
  <c r="K19" i="59"/>
  <c r="K30" i="59" s="1"/>
  <c r="K24" i="76"/>
  <c r="K27" i="76" s="1"/>
  <c r="K18" i="76"/>
  <c r="K17" i="76"/>
  <c r="K11" i="76"/>
  <c r="K14" i="76" s="1"/>
  <c r="M43" i="63"/>
  <c r="M29" i="63"/>
  <c r="M28" i="63"/>
  <c r="M27" i="63"/>
  <c r="M26" i="63"/>
  <c r="M25" i="63"/>
  <c r="M16" i="63"/>
  <c r="M27" i="62"/>
  <c r="M19" i="62"/>
  <c r="M18" i="62"/>
  <c r="M17" i="62"/>
  <c r="M14" i="62"/>
  <c r="M12" i="62"/>
  <c r="M22" i="61"/>
  <c r="M12" i="61"/>
  <c r="M16" i="61" s="1"/>
  <c r="M65" i="78"/>
  <c r="M91" i="78" s="1"/>
  <c r="M64" i="78"/>
  <c r="M90" i="78" s="1"/>
  <c r="M63" i="78"/>
  <c r="M89" i="78" s="1"/>
  <c r="M40" i="78"/>
  <c r="M39" i="78"/>
  <c r="M20" i="78"/>
  <c r="M19" i="78"/>
  <c r="M46" i="78"/>
  <c r="M44" i="78"/>
  <c r="M99" i="57"/>
  <c r="M97" i="57"/>
  <c r="M94" i="57"/>
  <c r="M93" i="57"/>
  <c r="M92" i="57"/>
  <c r="M91" i="57"/>
  <c r="M90" i="57"/>
  <c r="M89" i="57"/>
  <c r="M88" i="57"/>
  <c r="M71" i="57"/>
  <c r="M95" i="57" s="1"/>
  <c r="M60" i="57"/>
  <c r="M85" i="57" s="1"/>
  <c r="M59" i="57"/>
  <c r="M84" i="57" s="1"/>
  <c r="M55" i="57"/>
  <c r="M53" i="57"/>
  <c r="M50" i="57"/>
  <c r="M49" i="57"/>
  <c r="M48" i="57"/>
  <c r="M47" i="57"/>
  <c r="M46" i="57"/>
  <c r="M45" i="57"/>
  <c r="M44" i="57"/>
  <c r="M43" i="57"/>
  <c r="M42" i="57"/>
  <c r="M39" i="57"/>
  <c r="M38" i="57"/>
  <c r="M20" i="57"/>
  <c r="M51" i="57" s="1"/>
  <c r="L78" i="78"/>
  <c r="L75" i="78"/>
  <c r="L74" i="78"/>
  <c r="L73" i="78"/>
  <c r="L72" i="78"/>
  <c r="L71" i="78"/>
  <c r="L70" i="78"/>
  <c r="L69" i="78"/>
  <c r="L67" i="78"/>
  <c r="L99" i="57"/>
  <c r="L97" i="57"/>
  <c r="L94" i="57"/>
  <c r="L93" i="57"/>
  <c r="L92" i="57"/>
  <c r="L91" i="57"/>
  <c r="L90" i="57"/>
  <c r="L89" i="57"/>
  <c r="L88" i="57"/>
  <c r="L55" i="57"/>
  <c r="L53" i="57"/>
  <c r="L50" i="57"/>
  <c r="L49" i="57"/>
  <c r="L48" i="57"/>
  <c r="L47" i="57"/>
  <c r="L46" i="57"/>
  <c r="L45" i="57"/>
  <c r="L44" i="57"/>
  <c r="L43" i="57"/>
  <c r="L42" i="57"/>
  <c r="N95" i="78" l="1"/>
  <c r="N21" i="78"/>
  <c r="P95" i="78"/>
  <c r="P76" i="78"/>
  <c r="P45" i="78"/>
  <c r="P21" i="78"/>
  <c r="O21" i="78"/>
  <c r="O53" i="78" s="1"/>
  <c r="O95" i="78"/>
  <c r="O76" i="78"/>
  <c r="M31" i="61"/>
  <c r="M33" i="61"/>
  <c r="N101" i="78"/>
  <c r="N22" i="78"/>
  <c r="N53" i="78"/>
  <c r="N102" i="78"/>
  <c r="N54" i="57"/>
  <c r="N25" i="57"/>
  <c r="N56" i="57" s="1"/>
  <c r="N96" i="57"/>
  <c r="N74" i="57"/>
  <c r="L76" i="78"/>
  <c r="L77" i="78" s="1"/>
  <c r="K19" i="76"/>
  <c r="M76" i="78"/>
  <c r="M101" i="78" s="1"/>
  <c r="M95" i="78"/>
  <c r="M97" i="78"/>
  <c r="M99" i="78"/>
  <c r="M103" i="78"/>
  <c r="M96" i="78"/>
  <c r="M98" i="78"/>
  <c r="M100" i="78"/>
  <c r="M105" i="78"/>
  <c r="M48" i="78"/>
  <c r="M50" i="78"/>
  <c r="M52" i="78"/>
  <c r="M57" i="78"/>
  <c r="M45" i="78"/>
  <c r="M47" i="78"/>
  <c r="M49" i="78"/>
  <c r="M51" i="78"/>
  <c r="M55" i="78"/>
  <c r="E67" i="82"/>
  <c r="M59" i="82"/>
  <c r="F51" i="75"/>
  <c r="K52" i="59"/>
  <c r="M45" i="63"/>
  <c r="M48" i="63" s="1"/>
  <c r="M30" i="63"/>
  <c r="M32" i="63" s="1"/>
  <c r="M18" i="63"/>
  <c r="M21" i="63" s="1"/>
  <c r="M20" i="62"/>
  <c r="M94" i="78"/>
  <c r="M21" i="78"/>
  <c r="M53" i="78" s="1"/>
  <c r="L96" i="78"/>
  <c r="L98" i="78"/>
  <c r="L100" i="78"/>
  <c r="L95" i="78"/>
  <c r="L97" i="78"/>
  <c r="L99" i="78"/>
  <c r="L103" i="78"/>
  <c r="M21" i="57"/>
  <c r="M72" i="57"/>
  <c r="L94" i="78"/>
  <c r="F51" i="82"/>
  <c r="B46" i="82"/>
  <c r="L43" i="82"/>
  <c r="K43" i="82"/>
  <c r="J43" i="82"/>
  <c r="I43" i="82"/>
  <c r="H43" i="82"/>
  <c r="G43" i="82"/>
  <c r="F43" i="82"/>
  <c r="E43" i="82"/>
  <c r="M42" i="82"/>
  <c r="E50" i="82" s="1"/>
  <c r="M41" i="82"/>
  <c r="E49" i="82" s="1"/>
  <c r="M40" i="82"/>
  <c r="E48" i="82" s="1"/>
  <c r="M39" i="82"/>
  <c r="E47" i="82" s="1"/>
  <c r="J50" i="59"/>
  <c r="J38" i="59"/>
  <c r="J43" i="59" s="1"/>
  <c r="J19" i="59"/>
  <c r="J30" i="59" s="1"/>
  <c r="J24" i="76"/>
  <c r="J27" i="76" s="1"/>
  <c r="J18" i="76"/>
  <c r="J17" i="76"/>
  <c r="J11" i="76"/>
  <c r="J14" i="76" s="1"/>
  <c r="L43" i="63"/>
  <c r="L29" i="63"/>
  <c r="L28" i="63"/>
  <c r="L27" i="63"/>
  <c r="L26" i="63"/>
  <c r="L25" i="63"/>
  <c r="L16" i="63"/>
  <c r="L27" i="62"/>
  <c r="L19" i="62"/>
  <c r="L18" i="62"/>
  <c r="L17" i="62"/>
  <c r="L14" i="62"/>
  <c r="L12" i="62"/>
  <c r="L22" i="61"/>
  <c r="L31" i="61" s="1"/>
  <c r="L12" i="61"/>
  <c r="L16" i="61" s="1"/>
  <c r="L86" i="78"/>
  <c r="L85" i="78"/>
  <c r="L80" i="78"/>
  <c r="L105" i="78" s="1"/>
  <c r="L65" i="78"/>
  <c r="L91" i="78" s="1"/>
  <c r="L64" i="78"/>
  <c r="L90" i="78" s="1"/>
  <c r="L63" i="78"/>
  <c r="L89" i="78" s="1"/>
  <c r="L40" i="78"/>
  <c r="L39" i="78"/>
  <c r="L35" i="78"/>
  <c r="L34" i="78"/>
  <c r="L31" i="78"/>
  <c r="L30" i="78"/>
  <c r="L25" i="78"/>
  <c r="L23" i="78"/>
  <c r="L20" i="78"/>
  <c r="L16" i="78"/>
  <c r="L15" i="78"/>
  <c r="L14" i="78"/>
  <c r="L13" i="78"/>
  <c r="L12" i="78"/>
  <c r="L10" i="78"/>
  <c r="L71" i="57"/>
  <c r="L95" i="57" s="1"/>
  <c r="L60" i="57"/>
  <c r="L85" i="57" s="1"/>
  <c r="L59" i="57"/>
  <c r="L84" i="57" s="1"/>
  <c r="L39" i="57"/>
  <c r="L38" i="57"/>
  <c r="L20" i="57"/>
  <c r="L51" i="57" s="1"/>
  <c r="F35" i="82"/>
  <c r="B30" i="82"/>
  <c r="L27" i="82"/>
  <c r="K27" i="82"/>
  <c r="J27" i="82"/>
  <c r="I27" i="82"/>
  <c r="H27" i="82"/>
  <c r="G27" i="82"/>
  <c r="F27" i="82"/>
  <c r="E27" i="82"/>
  <c r="M26" i="82"/>
  <c r="E34" i="82" s="1"/>
  <c r="M25" i="82"/>
  <c r="E33" i="82" s="1"/>
  <c r="M24" i="82"/>
  <c r="E32" i="82" s="1"/>
  <c r="M23" i="82"/>
  <c r="E31" i="82" s="1"/>
  <c r="I50" i="59"/>
  <c r="I38" i="59"/>
  <c r="I43" i="59" s="1"/>
  <c r="I19" i="59"/>
  <c r="I30" i="59" s="1"/>
  <c r="I24" i="76"/>
  <c r="I27" i="76" s="1"/>
  <c r="I18" i="76"/>
  <c r="I17" i="76"/>
  <c r="I11" i="76"/>
  <c r="I14" i="76" s="1"/>
  <c r="K43" i="63"/>
  <c r="K29" i="63"/>
  <c r="K28" i="63"/>
  <c r="K27" i="63"/>
  <c r="K26" i="63"/>
  <c r="K25" i="63"/>
  <c r="K16" i="63"/>
  <c r="K27" i="62"/>
  <c r="K19" i="62"/>
  <c r="K18" i="62"/>
  <c r="K17" i="62"/>
  <c r="K14" i="62"/>
  <c r="K12" i="62"/>
  <c r="K22" i="61"/>
  <c r="K31" i="61" s="1"/>
  <c r="K12" i="61"/>
  <c r="K16" i="61" s="1"/>
  <c r="K86" i="78"/>
  <c r="K85" i="78"/>
  <c r="K80" i="78"/>
  <c r="K78" i="78"/>
  <c r="K75" i="78"/>
  <c r="K74" i="78"/>
  <c r="K73" i="78"/>
  <c r="K72" i="78"/>
  <c r="K71" i="78"/>
  <c r="K70" i="78"/>
  <c r="K69" i="78"/>
  <c r="K67" i="78"/>
  <c r="K65" i="78"/>
  <c r="K91" i="78" s="1"/>
  <c r="K64" i="78"/>
  <c r="K90" i="78" s="1"/>
  <c r="K63" i="78"/>
  <c r="K89" i="78" s="1"/>
  <c r="K40" i="78"/>
  <c r="K39" i="78"/>
  <c r="K35" i="78"/>
  <c r="K34" i="78"/>
  <c r="K31" i="78"/>
  <c r="K30" i="78"/>
  <c r="K25" i="78"/>
  <c r="K23" i="78"/>
  <c r="K20" i="78"/>
  <c r="K16" i="78"/>
  <c r="K15" i="78"/>
  <c r="K14" i="78"/>
  <c r="K13" i="78"/>
  <c r="K12" i="78"/>
  <c r="K10" i="78"/>
  <c r="K99" i="57"/>
  <c r="K97" i="57"/>
  <c r="K94" i="57"/>
  <c r="K93" i="57"/>
  <c r="K92" i="57"/>
  <c r="K91" i="57"/>
  <c r="K90" i="57"/>
  <c r="K89" i="57"/>
  <c r="K88" i="57"/>
  <c r="K71" i="57"/>
  <c r="K95" i="57" s="1"/>
  <c r="K60" i="57"/>
  <c r="K85" i="57" s="1"/>
  <c r="K59" i="57"/>
  <c r="K84" i="57" s="1"/>
  <c r="K55" i="57"/>
  <c r="K53" i="57"/>
  <c r="K50" i="57"/>
  <c r="K49" i="57"/>
  <c r="K48" i="57"/>
  <c r="K47" i="57"/>
  <c r="K46" i="57"/>
  <c r="K45" i="57"/>
  <c r="K44" i="57"/>
  <c r="K43" i="57"/>
  <c r="K42" i="57"/>
  <c r="K39" i="57"/>
  <c r="K38" i="57"/>
  <c r="K20" i="57"/>
  <c r="K51" i="57" s="1"/>
  <c r="O22" i="78" l="1"/>
  <c r="O24" i="78" s="1"/>
  <c r="P53" i="78"/>
  <c r="P22" i="78"/>
  <c r="L101" i="78"/>
  <c r="P101" i="78"/>
  <c r="P77" i="78"/>
  <c r="M77" i="78"/>
  <c r="M102" i="78" s="1"/>
  <c r="O101" i="78"/>
  <c r="O77" i="78"/>
  <c r="N24" i="78"/>
  <c r="N54" i="78"/>
  <c r="N104" i="78"/>
  <c r="N106" i="78"/>
  <c r="N76" i="57"/>
  <c r="N100" i="57" s="1"/>
  <c r="N98" i="57"/>
  <c r="M22" i="78"/>
  <c r="K44" i="78"/>
  <c r="M52" i="57"/>
  <c r="M23" i="57"/>
  <c r="M96" i="57"/>
  <c r="M74" i="57"/>
  <c r="L44" i="78"/>
  <c r="L46" i="78"/>
  <c r="L48" i="78"/>
  <c r="L52" i="78"/>
  <c r="L57" i="78"/>
  <c r="L102" i="78"/>
  <c r="L79" i="78"/>
  <c r="L45" i="78"/>
  <c r="L47" i="78"/>
  <c r="L55" i="78"/>
  <c r="E51" i="82"/>
  <c r="J19" i="76"/>
  <c r="L45" i="63"/>
  <c r="L48" i="63" s="1"/>
  <c r="L20" i="62"/>
  <c r="M43" i="82"/>
  <c r="J52" i="59"/>
  <c r="L30" i="63"/>
  <c r="L32" i="63" s="1"/>
  <c r="L18" i="63"/>
  <c r="L21" i="63" s="1"/>
  <c r="L33" i="61"/>
  <c r="L21" i="57"/>
  <c r="L72" i="57"/>
  <c r="L96" i="57" s="1"/>
  <c r="K46" i="78"/>
  <c r="K48" i="78"/>
  <c r="K52" i="78"/>
  <c r="K57" i="78"/>
  <c r="K45" i="78"/>
  <c r="K47" i="78"/>
  <c r="K55" i="78"/>
  <c r="E35" i="82"/>
  <c r="I19" i="76"/>
  <c r="K76" i="78"/>
  <c r="K77" i="78" s="1"/>
  <c r="K96" i="78"/>
  <c r="K98" i="78"/>
  <c r="K100" i="78"/>
  <c r="K105" i="78"/>
  <c r="K95" i="78"/>
  <c r="K97" i="78"/>
  <c r="K99" i="78"/>
  <c r="K103" i="78"/>
  <c r="M27" i="82"/>
  <c r="I52" i="59"/>
  <c r="K45" i="63"/>
  <c r="K48" i="63" s="1"/>
  <c r="K30" i="63"/>
  <c r="K32" i="63" s="1"/>
  <c r="K18" i="63"/>
  <c r="K21" i="63" s="1"/>
  <c r="K20" i="62"/>
  <c r="K33" i="61"/>
  <c r="K94" i="78"/>
  <c r="K21" i="57"/>
  <c r="K72" i="57"/>
  <c r="J12" i="78"/>
  <c r="J10" i="78"/>
  <c r="J99" i="57"/>
  <c r="J97" i="57"/>
  <c r="J94" i="57"/>
  <c r="J93" i="57"/>
  <c r="J92" i="57"/>
  <c r="J91" i="57"/>
  <c r="J90" i="57"/>
  <c r="J89" i="57"/>
  <c r="J88" i="57"/>
  <c r="J55" i="57"/>
  <c r="J53" i="57"/>
  <c r="J50" i="57"/>
  <c r="J49" i="57"/>
  <c r="J48" i="57"/>
  <c r="J47" i="57"/>
  <c r="J46" i="57"/>
  <c r="J45" i="57"/>
  <c r="J44" i="57"/>
  <c r="J43" i="57"/>
  <c r="J42" i="57"/>
  <c r="O54" i="78" l="1"/>
  <c r="P54" i="78"/>
  <c r="P24" i="78"/>
  <c r="P79" i="78"/>
  <c r="P102" i="78"/>
  <c r="M79" i="78"/>
  <c r="M104" i="78" s="1"/>
  <c r="O56" i="78"/>
  <c r="O26" i="78"/>
  <c r="O58" i="78" s="1"/>
  <c r="O102" i="78"/>
  <c r="O79" i="78"/>
  <c r="N26" i="78"/>
  <c r="N58" i="78" s="1"/>
  <c r="N56" i="78"/>
  <c r="M54" i="78"/>
  <c r="M24" i="78"/>
  <c r="M76" i="57"/>
  <c r="M100" i="57" s="1"/>
  <c r="M98" i="57"/>
  <c r="M54" i="57"/>
  <c r="M25" i="57"/>
  <c r="M56" i="57" s="1"/>
  <c r="L81" i="78"/>
  <c r="L106" i="78" s="1"/>
  <c r="L104" i="78"/>
  <c r="L52" i="57"/>
  <c r="L23" i="57"/>
  <c r="L54" i="57" s="1"/>
  <c r="L74" i="57"/>
  <c r="L98" i="57" s="1"/>
  <c r="J44" i="78"/>
  <c r="K101" i="78"/>
  <c r="K102" i="78"/>
  <c r="K79" i="78"/>
  <c r="K104" i="78" s="1"/>
  <c r="K52" i="57"/>
  <c r="K23" i="57"/>
  <c r="K96" i="57"/>
  <c r="K74" i="57"/>
  <c r="J35" i="78"/>
  <c r="J34" i="78"/>
  <c r="J31" i="78"/>
  <c r="J30" i="78"/>
  <c r="J25" i="78"/>
  <c r="J57" i="78" s="1"/>
  <c r="J23" i="78"/>
  <c r="J55" i="78" s="1"/>
  <c r="K7" i="64"/>
  <c r="L7" i="64"/>
  <c r="F69" i="57"/>
  <c r="F70" i="57"/>
  <c r="F17" i="57"/>
  <c r="F16" i="57"/>
  <c r="J19" i="62"/>
  <c r="J18" i="62"/>
  <c r="J17" i="62"/>
  <c r="F19" i="82"/>
  <c r="B14" i="82"/>
  <c r="L11" i="82"/>
  <c r="K11" i="82"/>
  <c r="J11" i="82"/>
  <c r="I11" i="82"/>
  <c r="H11" i="82"/>
  <c r="G11" i="82"/>
  <c r="F11" i="82"/>
  <c r="E11" i="82"/>
  <c r="M10" i="82"/>
  <c r="E18" i="82" s="1"/>
  <c r="M9" i="82"/>
  <c r="E17" i="82" s="1"/>
  <c r="M8" i="82"/>
  <c r="E16" i="82" s="1"/>
  <c r="M7" i="82"/>
  <c r="E15" i="82" s="1"/>
  <c r="H24" i="76"/>
  <c r="H27" i="76" s="1"/>
  <c r="H18" i="76"/>
  <c r="H17" i="76"/>
  <c r="H11" i="76"/>
  <c r="H14" i="76" s="1"/>
  <c r="P81" i="78" l="1"/>
  <c r="P106" i="78" s="1"/>
  <c r="P104" i="78"/>
  <c r="P56" i="78"/>
  <c r="P26" i="78"/>
  <c r="P58" i="78" s="1"/>
  <c r="M81" i="78"/>
  <c r="M106" i="78" s="1"/>
  <c r="O81" i="78"/>
  <c r="O106" i="78" s="1"/>
  <c r="O104" i="78"/>
  <c r="H19" i="76"/>
  <c r="M56" i="78"/>
  <c r="M26" i="78"/>
  <c r="M58" i="78" s="1"/>
  <c r="L76" i="57"/>
  <c r="L100" i="57" s="1"/>
  <c r="L25" i="57"/>
  <c r="L56" i="57" s="1"/>
  <c r="K81" i="78"/>
  <c r="K106" i="78" s="1"/>
  <c r="K76" i="57"/>
  <c r="K100" i="57" s="1"/>
  <c r="K98" i="57"/>
  <c r="K54" i="57"/>
  <c r="K25" i="57"/>
  <c r="K56" i="57" s="1"/>
  <c r="E19" i="82"/>
  <c r="M11" i="82"/>
  <c r="J43" i="63"/>
  <c r="J29" i="63"/>
  <c r="J16" i="63"/>
  <c r="J27" i="62"/>
  <c r="J20" i="62"/>
  <c r="J14" i="62"/>
  <c r="J12" i="62"/>
  <c r="J22" i="61"/>
  <c r="J12" i="61"/>
  <c r="J16" i="61" s="1"/>
  <c r="H50" i="59"/>
  <c r="H38" i="59"/>
  <c r="H43" i="59" s="1"/>
  <c r="H19" i="59"/>
  <c r="H30" i="59" s="1"/>
  <c r="J86" i="78"/>
  <c r="J85" i="78"/>
  <c r="J80" i="78"/>
  <c r="J78" i="78"/>
  <c r="J75" i="78"/>
  <c r="J74" i="78"/>
  <c r="J73" i="78"/>
  <c r="J72" i="78"/>
  <c r="J71" i="78"/>
  <c r="J70" i="78"/>
  <c r="J69" i="78"/>
  <c r="J67" i="78"/>
  <c r="J20" i="78"/>
  <c r="J52" i="78" s="1"/>
  <c r="J16" i="78"/>
  <c r="J48" i="78" s="1"/>
  <c r="J15" i="78"/>
  <c r="J47" i="78" s="1"/>
  <c r="J14" i="78"/>
  <c r="J46" i="78" s="1"/>
  <c r="J13" i="78"/>
  <c r="J45" i="78" s="1"/>
  <c r="E90" i="78"/>
  <c r="F90" i="78"/>
  <c r="J65" i="78"/>
  <c r="J91" i="78" s="1"/>
  <c r="J64" i="78"/>
  <c r="J90" i="78" s="1"/>
  <c r="J63" i="78"/>
  <c r="J89" i="78" s="1"/>
  <c r="J40" i="78"/>
  <c r="J39" i="78"/>
  <c r="J71" i="57"/>
  <c r="J95" i="57" s="1"/>
  <c r="J60" i="57"/>
  <c r="J85" i="57" s="1"/>
  <c r="J59" i="57"/>
  <c r="J84" i="57" s="1"/>
  <c r="J39" i="57"/>
  <c r="J38" i="57"/>
  <c r="J20" i="57"/>
  <c r="J51" i="57" s="1"/>
  <c r="E75" i="57"/>
  <c r="J31" i="61" l="1"/>
  <c r="J33" i="61"/>
  <c r="J94" i="78"/>
  <c r="J96" i="78"/>
  <c r="J99" i="78"/>
  <c r="J105" i="78"/>
  <c r="J76" i="78"/>
  <c r="J77" i="78" s="1"/>
  <c r="J79" i="78" s="1"/>
  <c r="J81" i="78" s="1"/>
  <c r="J95" i="78"/>
  <c r="J97" i="78"/>
  <c r="J103" i="78"/>
  <c r="J45" i="63"/>
  <c r="J48" i="63" s="1"/>
  <c r="J30" i="63"/>
  <c r="J32" i="63" s="1"/>
  <c r="J18" i="63"/>
  <c r="J21" i="63" s="1"/>
  <c r="H52" i="59"/>
  <c r="J98" i="78"/>
  <c r="J100" i="78"/>
  <c r="J21" i="57"/>
  <c r="J52" i="57" s="1"/>
  <c r="J72" i="57"/>
  <c r="J96" i="57" s="1"/>
  <c r="C37" i="59"/>
  <c r="C12" i="59"/>
  <c r="C22" i="76"/>
  <c r="C23" i="76"/>
  <c r="I18" i="57"/>
  <c r="L19" i="78" s="1"/>
  <c r="L51" i="78" s="1"/>
  <c r="I17" i="57"/>
  <c r="L18" i="78" s="1"/>
  <c r="L50" i="78" s="1"/>
  <c r="I19" i="78"/>
  <c r="I51" i="78" s="1"/>
  <c r="I18" i="78"/>
  <c r="I50" i="78" s="1"/>
  <c r="E70" i="57"/>
  <c r="E69" i="57"/>
  <c r="E17" i="57"/>
  <c r="E16" i="57"/>
  <c r="N65" i="64"/>
  <c r="E75" i="64" s="1"/>
  <c r="F77" i="64"/>
  <c r="B70" i="64"/>
  <c r="M67" i="64"/>
  <c r="L67" i="64"/>
  <c r="K67" i="64"/>
  <c r="J67" i="64"/>
  <c r="I67" i="64"/>
  <c r="H67" i="64"/>
  <c r="G67" i="64"/>
  <c r="F67" i="64"/>
  <c r="E67" i="64"/>
  <c r="N66" i="64"/>
  <c r="E76" i="64" s="1"/>
  <c r="N64" i="64"/>
  <c r="E74" i="64" s="1"/>
  <c r="N63" i="64"/>
  <c r="E73" i="64" s="1"/>
  <c r="N62" i="64"/>
  <c r="E72" i="64" s="1"/>
  <c r="N61" i="64"/>
  <c r="E71" i="64" s="1"/>
  <c r="H47" i="75"/>
  <c r="G47" i="75"/>
  <c r="H38" i="75"/>
  <c r="G38" i="75"/>
  <c r="H27" i="75"/>
  <c r="G27" i="75"/>
  <c r="G24" i="76"/>
  <c r="G27" i="76" s="1"/>
  <c r="G18" i="76"/>
  <c r="G17" i="76"/>
  <c r="G11" i="76"/>
  <c r="G14" i="76" s="1"/>
  <c r="I43" i="63"/>
  <c r="I29" i="63"/>
  <c r="I28" i="63"/>
  <c r="I27" i="63"/>
  <c r="I26" i="63"/>
  <c r="I25" i="63"/>
  <c r="I16" i="63"/>
  <c r="I27" i="62"/>
  <c r="I19" i="62"/>
  <c r="I18" i="62"/>
  <c r="I17" i="62"/>
  <c r="I14" i="62"/>
  <c r="I12" i="62"/>
  <c r="I22" i="61"/>
  <c r="I31" i="61" s="1"/>
  <c r="I12" i="61"/>
  <c r="I16" i="61" s="1"/>
  <c r="G50" i="59"/>
  <c r="G38" i="59"/>
  <c r="G43" i="59" s="1"/>
  <c r="G19" i="59"/>
  <c r="G30" i="59" s="1"/>
  <c r="I49" i="78"/>
  <c r="I48" i="78"/>
  <c r="I47" i="78"/>
  <c r="I46" i="78"/>
  <c r="I45" i="78"/>
  <c r="I85" i="78"/>
  <c r="I105" i="78"/>
  <c r="I103" i="78"/>
  <c r="I100" i="78"/>
  <c r="I99" i="78"/>
  <c r="I98" i="78"/>
  <c r="I97" i="78"/>
  <c r="I96" i="78"/>
  <c r="I95" i="78"/>
  <c r="I94" i="78"/>
  <c r="I65" i="78"/>
  <c r="I91" i="78" s="1"/>
  <c r="I64" i="78"/>
  <c r="I90" i="78" s="1"/>
  <c r="I63" i="78"/>
  <c r="I89" i="78" s="1"/>
  <c r="I40" i="78"/>
  <c r="I39" i="78"/>
  <c r="I31" i="78"/>
  <c r="I30" i="78"/>
  <c r="I57" i="78"/>
  <c r="I55" i="78"/>
  <c r="I20" i="78"/>
  <c r="I52" i="78" s="1"/>
  <c r="I44" i="78"/>
  <c r="J19" i="78" l="1"/>
  <c r="J51" i="78" s="1"/>
  <c r="K19" i="78"/>
  <c r="K51" i="78" s="1"/>
  <c r="J101" i="78"/>
  <c r="J102" i="78"/>
  <c r="J74" i="57"/>
  <c r="J98" i="57" s="1"/>
  <c r="J23" i="57"/>
  <c r="J54" i="57" s="1"/>
  <c r="G19" i="76"/>
  <c r="H51" i="75"/>
  <c r="I33" i="61"/>
  <c r="G51" i="75"/>
  <c r="E77" i="64"/>
  <c r="N67" i="64"/>
  <c r="I45" i="63"/>
  <c r="I48" i="63" s="1"/>
  <c r="I30" i="63"/>
  <c r="I32" i="63" s="1"/>
  <c r="I18" i="63"/>
  <c r="I21" i="63" s="1"/>
  <c r="I20" i="62"/>
  <c r="G52" i="59"/>
  <c r="I21" i="78"/>
  <c r="I53" i="78" s="1"/>
  <c r="I76" i="78"/>
  <c r="I101" i="78" s="1"/>
  <c r="H54" i="75" l="1"/>
  <c r="G52" i="75" s="1"/>
  <c r="G54" i="75" s="1"/>
  <c r="F52" i="75" s="1"/>
  <c r="F54" i="75" s="1"/>
  <c r="J104" i="78"/>
  <c r="J106" i="78"/>
  <c r="J25" i="57"/>
  <c r="J56" i="57" s="1"/>
  <c r="J76" i="57"/>
  <c r="J100" i="57" s="1"/>
  <c r="I22" i="78"/>
  <c r="I77" i="78"/>
  <c r="I24" i="78" l="1"/>
  <c r="I54" i="78"/>
  <c r="I79" i="78"/>
  <c r="I102" i="78"/>
  <c r="I26" i="78" l="1"/>
  <c r="I58" i="78" s="1"/>
  <c r="I56" i="78"/>
  <c r="I81" i="78"/>
  <c r="I106" i="78" s="1"/>
  <c r="I104" i="78"/>
  <c r="I46" i="57" l="1"/>
  <c r="I45" i="57"/>
  <c r="I44" i="57"/>
  <c r="I43" i="57"/>
  <c r="I42" i="57"/>
  <c r="I16" i="57"/>
  <c r="L17" i="78" s="1"/>
  <c r="L49" i="78" l="1"/>
  <c r="L21" i="78"/>
  <c r="I99" i="57"/>
  <c r="I97" i="57"/>
  <c r="I94" i="57"/>
  <c r="I93" i="57"/>
  <c r="I92" i="57"/>
  <c r="I91" i="57"/>
  <c r="I90" i="57"/>
  <c r="I89" i="57"/>
  <c r="I88" i="57"/>
  <c r="I71" i="57"/>
  <c r="I95" i="57" s="1"/>
  <c r="I60" i="57"/>
  <c r="I85" i="57" s="1"/>
  <c r="I59" i="57"/>
  <c r="I84" i="57" s="1"/>
  <c r="I55" i="57"/>
  <c r="I53" i="57"/>
  <c r="I50" i="57"/>
  <c r="I49" i="57"/>
  <c r="I39" i="57"/>
  <c r="I38" i="57"/>
  <c r="I48" i="57"/>
  <c r="I20" i="57"/>
  <c r="L53" i="78" l="1"/>
  <c r="L22" i="78"/>
  <c r="I51" i="57"/>
  <c r="I21" i="57"/>
  <c r="I47" i="57"/>
  <c r="I72" i="57"/>
  <c r="I74" i="57" s="1"/>
  <c r="I76" i="57" s="1"/>
  <c r="I100" i="57" s="1"/>
  <c r="H55" i="57"/>
  <c r="H53" i="57"/>
  <c r="H50" i="57"/>
  <c r="H49" i="57"/>
  <c r="H46" i="57"/>
  <c r="H45" i="57"/>
  <c r="H44" i="57"/>
  <c r="H43" i="57"/>
  <c r="H99" i="57"/>
  <c r="H97" i="57"/>
  <c r="H94" i="57"/>
  <c r="H93" i="57"/>
  <c r="H92" i="57"/>
  <c r="H91" i="57"/>
  <c r="H90" i="57"/>
  <c r="H89" i="57"/>
  <c r="H88" i="57"/>
  <c r="H60" i="57"/>
  <c r="H42" i="57"/>
  <c r="L54" i="78" l="1"/>
  <c r="L24" i="78"/>
  <c r="I96" i="57"/>
  <c r="I52" i="57"/>
  <c r="I23" i="57"/>
  <c r="H76" i="78"/>
  <c r="L56" i="78" l="1"/>
  <c r="L26" i="78"/>
  <c r="L58" i="78" s="1"/>
  <c r="I54" i="57"/>
  <c r="I25" i="57"/>
  <c r="I56" i="57" s="1"/>
  <c r="I98" i="57"/>
  <c r="H17" i="57"/>
  <c r="K18" i="78" s="1"/>
  <c r="K50" i="78" s="1"/>
  <c r="H16" i="57"/>
  <c r="K17" i="78" s="1"/>
  <c r="K49" i="78" l="1"/>
  <c r="K21" i="78"/>
  <c r="H48" i="57"/>
  <c r="J18" i="78"/>
  <c r="J50" i="78" s="1"/>
  <c r="H47" i="57"/>
  <c r="J17" i="78"/>
  <c r="J49" i="78" s="1"/>
  <c r="F11" i="59"/>
  <c r="F9" i="59"/>
  <c r="K53" i="78" l="1"/>
  <c r="K22" i="78"/>
  <c r="J21" i="78"/>
  <c r="K54" i="78" l="1"/>
  <c r="K24" i="78"/>
  <c r="J22" i="78"/>
  <c r="J54" i="78" s="1"/>
  <c r="J53" i="78"/>
  <c r="C24" i="76"/>
  <c r="C27" i="76" s="1"/>
  <c r="C18" i="76"/>
  <c r="C17" i="76"/>
  <c r="C11" i="76"/>
  <c r="F24" i="76"/>
  <c r="F27" i="76" s="1"/>
  <c r="E24" i="76"/>
  <c r="E27" i="76" s="1"/>
  <c r="D24" i="76"/>
  <c r="F18" i="76"/>
  <c r="E18" i="76"/>
  <c r="D18" i="76"/>
  <c r="F17" i="76"/>
  <c r="E17" i="76"/>
  <c r="D17" i="76"/>
  <c r="F11" i="76"/>
  <c r="F14" i="76" s="1"/>
  <c r="E11" i="76"/>
  <c r="E14" i="76" s="1"/>
  <c r="D11" i="76"/>
  <c r="F57" i="64"/>
  <c r="B51" i="64"/>
  <c r="M48" i="64"/>
  <c r="L48" i="64"/>
  <c r="K48" i="64"/>
  <c r="J48" i="64"/>
  <c r="I48" i="64"/>
  <c r="H48" i="64"/>
  <c r="G48" i="64"/>
  <c r="F48" i="64"/>
  <c r="E48" i="64"/>
  <c r="N47" i="64"/>
  <c r="E56" i="64" s="1"/>
  <c r="N46" i="64"/>
  <c r="E55" i="64" s="1"/>
  <c r="N45" i="64"/>
  <c r="E54" i="64" s="1"/>
  <c r="N44" i="64"/>
  <c r="E53" i="64" s="1"/>
  <c r="N43" i="64"/>
  <c r="E52" i="64" s="1"/>
  <c r="H43" i="63"/>
  <c r="H29" i="63"/>
  <c r="H28" i="63"/>
  <c r="H27" i="63"/>
  <c r="H26" i="63"/>
  <c r="H25" i="63"/>
  <c r="H16" i="63"/>
  <c r="H27" i="62"/>
  <c r="H19" i="62"/>
  <c r="H18" i="62"/>
  <c r="H17" i="62"/>
  <c r="H14" i="62"/>
  <c r="H12" i="62"/>
  <c r="H22" i="61"/>
  <c r="H31" i="61" s="1"/>
  <c r="H12" i="61"/>
  <c r="H16" i="61" s="1"/>
  <c r="F50" i="59"/>
  <c r="F38" i="59"/>
  <c r="F43" i="59" s="1"/>
  <c r="F19" i="59"/>
  <c r="F30" i="59" s="1"/>
  <c r="H65" i="78"/>
  <c r="H91" i="78" s="1"/>
  <c r="H64" i="78"/>
  <c r="H90" i="78" s="1"/>
  <c r="H63" i="78"/>
  <c r="H89" i="78" s="1"/>
  <c r="H40" i="78"/>
  <c r="H39" i="78"/>
  <c r="K26" i="78" l="1"/>
  <c r="K58" i="78" s="1"/>
  <c r="K56" i="78"/>
  <c r="D14" i="76"/>
  <c r="D27" i="76"/>
  <c r="J24" i="78"/>
  <c r="J56" i="78" s="1"/>
  <c r="D19" i="76"/>
  <c r="C19" i="76"/>
  <c r="H44" i="78"/>
  <c r="H21" i="78"/>
  <c r="H53" i="78" s="1"/>
  <c r="H77" i="78"/>
  <c r="H95" i="78"/>
  <c r="H99" i="78"/>
  <c r="H94" i="78"/>
  <c r="H98" i="78"/>
  <c r="H103" i="78"/>
  <c r="H97" i="78"/>
  <c r="H96" i="78"/>
  <c r="H100" i="78"/>
  <c r="H101" i="78"/>
  <c r="H49" i="78"/>
  <c r="H51" i="78"/>
  <c r="H57" i="78"/>
  <c r="H46" i="78"/>
  <c r="H55" i="78"/>
  <c r="H48" i="78"/>
  <c r="H50" i="78"/>
  <c r="H52" i="78"/>
  <c r="H45" i="78"/>
  <c r="H47" i="78"/>
  <c r="C14" i="76"/>
  <c r="E19" i="76"/>
  <c r="F19" i="76"/>
  <c r="E57" i="64"/>
  <c r="N48" i="64"/>
  <c r="H45" i="63"/>
  <c r="H48" i="63" s="1"/>
  <c r="H30" i="63"/>
  <c r="H32" i="63" s="1"/>
  <c r="H20" i="62"/>
  <c r="H33" i="61"/>
  <c r="F52" i="59"/>
  <c r="H71" i="57"/>
  <c r="H95" i="57" s="1"/>
  <c r="H85" i="57"/>
  <c r="H59" i="57"/>
  <c r="H84" i="57" s="1"/>
  <c r="H39" i="57"/>
  <c r="H38" i="57"/>
  <c r="H20" i="57"/>
  <c r="H51" i="57" s="1"/>
  <c r="M26" i="65"/>
  <c r="J26" i="78" l="1"/>
  <c r="J58" i="78" s="1"/>
  <c r="H22" i="78"/>
  <c r="H54" i="78" s="1"/>
  <c r="H18" i="63"/>
  <c r="H21" i="63" s="1"/>
  <c r="H102" i="78"/>
  <c r="H79" i="78"/>
  <c r="H104" i="78" s="1"/>
  <c r="H21" i="57"/>
  <c r="H52" i="57" s="1"/>
  <c r="H72" i="57"/>
  <c r="H96" i="57" s="1"/>
  <c r="H24" i="78" l="1"/>
  <c r="H56" i="78" s="1"/>
  <c r="H23" i="57"/>
  <c r="H54" i="57" s="1"/>
  <c r="H74" i="57"/>
  <c r="H98" i="57" s="1"/>
  <c r="E98" i="78"/>
  <c r="E97" i="78"/>
  <c r="E96" i="78"/>
  <c r="E95" i="78"/>
  <c r="E48" i="78"/>
  <c r="F91" i="78"/>
  <c r="E91" i="78"/>
  <c r="G65" i="78"/>
  <c r="G91" i="78" s="1"/>
  <c r="G64" i="78"/>
  <c r="G90" i="78" s="1"/>
  <c r="G63" i="78"/>
  <c r="G89" i="78" s="1"/>
  <c r="F63" i="78"/>
  <c r="F89" i="78" s="1"/>
  <c r="E63" i="78"/>
  <c r="E89" i="78" s="1"/>
  <c r="G40" i="78"/>
  <c r="F40" i="78"/>
  <c r="E40" i="78"/>
  <c r="G39" i="78"/>
  <c r="F39" i="78"/>
  <c r="E39" i="78"/>
  <c r="H26" i="78" l="1"/>
  <c r="H58" i="78" s="1"/>
  <c r="H25" i="57"/>
  <c r="H56" i="57" s="1"/>
  <c r="H76" i="57"/>
  <c r="H100" i="57" s="1"/>
  <c r="G45" i="78"/>
  <c r="F46" i="78"/>
  <c r="G47" i="78"/>
  <c r="F48" i="78"/>
  <c r="F95" i="78"/>
  <c r="G96" i="78"/>
  <c r="F97" i="78"/>
  <c r="G98" i="78"/>
  <c r="F45" i="78"/>
  <c r="G46" i="78"/>
  <c r="F47" i="78"/>
  <c r="G48" i="78"/>
  <c r="G95" i="78"/>
  <c r="F96" i="78"/>
  <c r="G97" i="78"/>
  <c r="F98" i="78"/>
  <c r="E45" i="78"/>
  <c r="E47" i="78"/>
  <c r="E46" i="78"/>
  <c r="F44" i="78"/>
  <c r="F49" i="78"/>
  <c r="E50" i="78"/>
  <c r="G50" i="78"/>
  <c r="F51" i="78"/>
  <c r="E52" i="78"/>
  <c r="G52" i="78"/>
  <c r="F55" i="78"/>
  <c r="E57" i="78"/>
  <c r="G57" i="78"/>
  <c r="F94" i="78"/>
  <c r="F99" i="78"/>
  <c r="E100" i="78"/>
  <c r="G100" i="78"/>
  <c r="E44" i="78"/>
  <c r="G44" i="78"/>
  <c r="E49" i="78"/>
  <c r="G49" i="78"/>
  <c r="F50" i="78"/>
  <c r="E51" i="78"/>
  <c r="G51" i="78"/>
  <c r="F52" i="78"/>
  <c r="E55" i="78"/>
  <c r="G55" i="78"/>
  <c r="F57" i="78"/>
  <c r="E94" i="78"/>
  <c r="G94" i="78"/>
  <c r="E99" i="78"/>
  <c r="G99" i="78"/>
  <c r="F100" i="78"/>
  <c r="F21" i="78"/>
  <c r="F53" i="78" s="1"/>
  <c r="F76" i="78"/>
  <c r="F101" i="78" s="1"/>
  <c r="E21" i="78"/>
  <c r="E53" i="78" s="1"/>
  <c r="G21" i="78"/>
  <c r="G53" i="78" s="1"/>
  <c r="E76" i="78"/>
  <c r="E101" i="78" s="1"/>
  <c r="G76" i="78"/>
  <c r="G101" i="78" s="1"/>
  <c r="G77" i="78" l="1"/>
  <c r="E22" i="78"/>
  <c r="F77" i="78"/>
  <c r="F22" i="78"/>
  <c r="E77" i="78"/>
  <c r="G22" i="78"/>
  <c r="E54" i="78" l="1"/>
  <c r="E24" i="78"/>
  <c r="G54" i="78"/>
  <c r="G24" i="78"/>
  <c r="E102" i="78"/>
  <c r="F54" i="78"/>
  <c r="F24" i="78"/>
  <c r="F102" i="78"/>
  <c r="G102" i="78"/>
  <c r="F56" i="78" l="1"/>
  <c r="F26" i="78"/>
  <c r="F58" i="78" s="1"/>
  <c r="G56" i="78"/>
  <c r="G26" i="78"/>
  <c r="G58" i="78" s="1"/>
  <c r="E56" i="78"/>
  <c r="E26" i="78"/>
  <c r="E58" i="78" s="1"/>
  <c r="H105" i="78" l="1"/>
  <c r="H81" i="78" l="1"/>
  <c r="H106" i="78" s="1"/>
  <c r="G105" i="78"/>
  <c r="E105" i="78"/>
  <c r="G45" i="57"/>
  <c r="F45" i="57"/>
  <c r="E45" i="57"/>
  <c r="G44" i="57"/>
  <c r="F44" i="57"/>
  <c r="E44" i="57"/>
  <c r="G43" i="57"/>
  <c r="F43" i="57"/>
  <c r="E43" i="57"/>
  <c r="G92" i="57"/>
  <c r="F92" i="57"/>
  <c r="E92" i="57"/>
  <c r="G91" i="57"/>
  <c r="F91" i="57"/>
  <c r="E91" i="57"/>
  <c r="G90" i="57"/>
  <c r="F90" i="57"/>
  <c r="E90" i="57"/>
  <c r="G89" i="57"/>
  <c r="F89" i="57"/>
  <c r="E89" i="57"/>
  <c r="F105" i="78" l="1"/>
  <c r="F103" i="78"/>
  <c r="F79" i="78"/>
  <c r="G103" i="78"/>
  <c r="G79" i="78"/>
  <c r="E103" i="78"/>
  <c r="E79" i="78"/>
  <c r="F39" i="64"/>
  <c r="B33" i="64"/>
  <c r="M30" i="64"/>
  <c r="L30" i="64"/>
  <c r="K30" i="64"/>
  <c r="J30" i="64"/>
  <c r="I30" i="64"/>
  <c r="H30" i="64"/>
  <c r="G30" i="64"/>
  <c r="F30" i="64"/>
  <c r="E30" i="64"/>
  <c r="N29" i="64"/>
  <c r="E38" i="64" s="1"/>
  <c r="N28" i="64"/>
  <c r="E37" i="64" s="1"/>
  <c r="N27" i="64"/>
  <c r="E36" i="64" s="1"/>
  <c r="N26" i="64"/>
  <c r="N25" i="64"/>
  <c r="E34" i="64" s="1"/>
  <c r="E39" i="64" l="1"/>
  <c r="E81" i="78"/>
  <c r="E106" i="78" s="1"/>
  <c r="E104" i="78"/>
  <c r="G81" i="78"/>
  <c r="G106" i="78" s="1"/>
  <c r="G104" i="78"/>
  <c r="F81" i="78"/>
  <c r="F106" i="78" s="1"/>
  <c r="F104" i="78"/>
  <c r="N30" i="64"/>
  <c r="G71" i="57"/>
  <c r="G99" i="57"/>
  <c r="G97" i="57"/>
  <c r="G94" i="57"/>
  <c r="G93" i="57"/>
  <c r="G88" i="57"/>
  <c r="G55" i="57"/>
  <c r="G53" i="57"/>
  <c r="G50" i="57"/>
  <c r="G49" i="57"/>
  <c r="G48" i="57"/>
  <c r="G47" i="57"/>
  <c r="G46" i="57"/>
  <c r="F71" i="57"/>
  <c r="E71" i="57"/>
  <c r="E72" i="57" s="1"/>
  <c r="F20" i="57"/>
  <c r="E20" i="57"/>
  <c r="E21" i="57" s="1"/>
  <c r="F78" i="65"/>
  <c r="B71" i="65"/>
  <c r="M68" i="65"/>
  <c r="L68" i="65"/>
  <c r="K68" i="65"/>
  <c r="J68" i="65"/>
  <c r="I68" i="65"/>
  <c r="G68" i="65"/>
  <c r="F68" i="65"/>
  <c r="E68" i="65"/>
  <c r="N67" i="65"/>
  <c r="E77" i="65" s="1"/>
  <c r="N66" i="65"/>
  <c r="E76" i="65" s="1"/>
  <c r="N65" i="65"/>
  <c r="E75" i="65" s="1"/>
  <c r="H64" i="65"/>
  <c r="H68" i="65" s="1"/>
  <c r="N63" i="65"/>
  <c r="E73" i="65" s="1"/>
  <c r="N62" i="65"/>
  <c r="E72" i="65" s="1"/>
  <c r="G12" i="62"/>
  <c r="F12" i="62"/>
  <c r="E12" i="62"/>
  <c r="F88" i="57"/>
  <c r="E88" i="57"/>
  <c r="F42" i="57"/>
  <c r="E42" i="57"/>
  <c r="F72" i="57" l="1"/>
  <c r="F21" i="57"/>
  <c r="G20" i="57"/>
  <c r="G51" i="57" s="1"/>
  <c r="G72" i="57"/>
  <c r="G42" i="57"/>
  <c r="G95" i="57"/>
  <c r="N64" i="65"/>
  <c r="E74" i="65" s="1"/>
  <c r="E78" i="65" s="1"/>
  <c r="G21" i="57" l="1"/>
  <c r="G74" i="57"/>
  <c r="G98" i="57" s="1"/>
  <c r="G96" i="57"/>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G76" i="57" l="1"/>
  <c r="G100" i="57" s="1"/>
  <c r="G52" i="57"/>
  <c r="G23" i="57"/>
  <c r="G25" i="57" s="1"/>
  <c r="G56" i="57" s="1"/>
  <c r="E21" i="65"/>
  <c r="M12" i="65"/>
  <c r="E21" i="64"/>
  <c r="N12" i="64"/>
  <c r="G54" i="57" l="1"/>
  <c r="E43" i="63"/>
  <c r="G43" i="63"/>
  <c r="E29" i="63"/>
  <c r="E28" i="63"/>
  <c r="E27" i="63"/>
  <c r="E26" i="63"/>
  <c r="E25" i="63"/>
  <c r="G29" i="63"/>
  <c r="G28" i="63"/>
  <c r="G27" i="63"/>
  <c r="G26" i="63"/>
  <c r="G25" i="63"/>
  <c r="E16" i="63"/>
  <c r="G16" i="63"/>
  <c r="F43" i="63"/>
  <c r="F29" i="63"/>
  <c r="F28" i="63"/>
  <c r="F27" i="63"/>
  <c r="F26" i="63"/>
  <c r="F25" i="63"/>
  <c r="F16" i="63"/>
  <c r="E12" i="61"/>
  <c r="E16" i="61" s="1"/>
  <c r="G12" i="61"/>
  <c r="E22" i="61"/>
  <c r="E31" i="61" s="1"/>
  <c r="G22" i="61"/>
  <c r="F22" i="61"/>
  <c r="F12" i="61"/>
  <c r="G27" i="62"/>
  <c r="G19" i="62"/>
  <c r="G18" i="62"/>
  <c r="G17" i="62"/>
  <c r="G14" i="62"/>
  <c r="E27" i="62"/>
  <c r="E19" i="62"/>
  <c r="E18" i="62"/>
  <c r="E17" i="62"/>
  <c r="E14" i="62"/>
  <c r="F19" i="62"/>
  <c r="F18" i="62"/>
  <c r="F17" i="62"/>
  <c r="F27" i="62"/>
  <c r="F14" i="62"/>
  <c r="E30" i="63" l="1"/>
  <c r="E32" i="63" s="1"/>
  <c r="F31" i="61"/>
  <c r="E20" i="62"/>
  <c r="G33" i="61"/>
  <c r="G16" i="61"/>
  <c r="F16" i="61"/>
  <c r="G18" i="63"/>
  <c r="G21" i="63" s="1"/>
  <c r="G20" i="62"/>
  <c r="F20" i="62"/>
  <c r="F33" i="61"/>
  <c r="F45" i="63"/>
  <c r="G30" i="63"/>
  <c r="G32" i="63" s="1"/>
  <c r="F18" i="63"/>
  <c r="F21" i="63" s="1"/>
  <c r="E33" i="61"/>
  <c r="F30" i="63"/>
  <c r="F32" i="63" s="1"/>
  <c r="G45" i="63"/>
  <c r="G48" i="63" s="1"/>
  <c r="E45" i="63"/>
  <c r="E18" i="63"/>
  <c r="E21" i="63" s="1"/>
  <c r="F48" i="63" l="1"/>
  <c r="E48" i="63"/>
  <c r="G31" i="61"/>
  <c r="C50" i="59" l="1"/>
  <c r="E50" i="59"/>
  <c r="C38" i="59"/>
  <c r="C43" i="59" s="1"/>
  <c r="E38" i="59"/>
  <c r="E43" i="59" s="1"/>
  <c r="C19" i="59"/>
  <c r="C30" i="59" s="1"/>
  <c r="E19" i="59"/>
  <c r="E30" i="59" s="1"/>
  <c r="D50" i="59"/>
  <c r="D38" i="59"/>
  <c r="D43" i="59" s="1"/>
  <c r="D19" i="59"/>
  <c r="D30" i="59" s="1"/>
  <c r="E52" i="59" l="1"/>
  <c r="D52" i="59"/>
  <c r="C52" i="59"/>
  <c r="G60" i="57" l="1"/>
  <c r="F60" i="57"/>
  <c r="E60" i="57"/>
  <c r="G59" i="57"/>
  <c r="F59" i="57"/>
  <c r="E59" i="57"/>
  <c r="F99" i="57" l="1"/>
  <c r="E99" i="57"/>
  <c r="F97" i="57"/>
  <c r="E97" i="57"/>
  <c r="F94" i="57"/>
  <c r="E94" i="57"/>
  <c r="F93" i="57"/>
  <c r="E93" i="57"/>
  <c r="G85" i="57"/>
  <c r="F85" i="57"/>
  <c r="E85" i="57"/>
  <c r="G84" i="57"/>
  <c r="F84" i="57"/>
  <c r="E84" i="57"/>
  <c r="F55" i="57"/>
  <c r="E55" i="57"/>
  <c r="F53" i="57"/>
  <c r="E53" i="57"/>
  <c r="F50" i="57"/>
  <c r="E50" i="57"/>
  <c r="F49" i="57"/>
  <c r="E49" i="57"/>
  <c r="F48" i="57"/>
  <c r="E48" i="57"/>
  <c r="F47" i="57"/>
  <c r="E47" i="57"/>
  <c r="F46" i="57"/>
  <c r="E46" i="57"/>
  <c r="G39" i="57"/>
  <c r="F39" i="57"/>
  <c r="E39" i="57"/>
  <c r="G38" i="57"/>
  <c r="F38" i="57"/>
  <c r="E38" i="57"/>
  <c r="E95" i="57" l="1"/>
  <c r="F95" i="57"/>
  <c r="E96" i="57"/>
  <c r="F96" i="57"/>
  <c r="E51" i="57" l="1"/>
  <c r="E52" i="57"/>
  <c r="F51" i="57"/>
  <c r="F52" i="57"/>
  <c r="E23" i="57"/>
  <c r="F23" i="57"/>
  <c r="E74" i="57"/>
  <c r="E98" i="57" s="1"/>
  <c r="F74" i="57"/>
  <c r="F98" i="57" l="1"/>
  <c r="F25" i="57"/>
  <c r="F54" i="57"/>
  <c r="E25" i="57"/>
  <c r="E54" i="57"/>
  <c r="F76" i="57"/>
  <c r="E76" i="57"/>
  <c r="E100" i="57" s="1"/>
  <c r="F100" i="57" l="1"/>
  <c r="E56" i="57"/>
  <c r="F56" i="57"/>
</calcChain>
</file>

<file path=xl/sharedStrings.xml><?xml version="1.0" encoding="utf-8"?>
<sst xmlns="http://schemas.openxmlformats.org/spreadsheetml/2006/main" count="1214" uniqueCount="302">
  <si>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</si>
  <si>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</si>
  <si>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</si>
  <si>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</si>
  <si>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</si>
  <si>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</si>
  <si>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</si>
  <si>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</si>
  <si>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</si>
  <si>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</si>
  <si>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</si>
  <si>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</si>
  <si>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</si>
  <si>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</si>
  <si>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</si>
  <si>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</si>
  <si>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</si>
  <si>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</si>
  <si>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</si>
  <si>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</si>
  <si>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</si>
  <si>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</si>
  <si>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</si>
  <si>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</si>
  <si>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</si>
  <si>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</si>
  <si>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</si>
  <si>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</si>
  <si>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</si>
  <si>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</si>
  <si>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</si>
  <si>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</si>
  <si>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</si>
  <si>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</si>
  <si>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</si>
  <si>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</si>
  <si>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Three Months Ended December 31, 2010</t>
  </si>
  <si>
    <t>Retained earnings (accumulated deficit)</t>
  </si>
  <si>
    <t>Three Months Ended March 31, 2011</t>
  </si>
  <si>
    <t>ACTIVISION BLIZZARD INC.</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</si>
  <si>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</si>
  <si>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</si>
  <si>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</si>
  <si>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</si>
  <si>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</si>
  <si>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</si>
  <si>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</si>
  <si>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</si>
  <si>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</si>
  <si>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</si>
  <si>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</si>
  <si>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</si>
  <si>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</si>
  <si>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</si>
  <si>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</si>
  <si>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</si>
  <si>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</si>
  <si>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</si>
  <si>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</si>
  <si>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</si>
  <si>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</si>
  <si>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</si>
  <si>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</si>
  <si>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</si>
  <si>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</si>
  <si>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</si>
  <si>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</si>
  <si>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</si>
  <si>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</si>
  <si>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</si>
  <si>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</si>
  <si>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</si>
  <si>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</si>
  <si>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</si>
  <si>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</si>
  <si>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</si>
  <si>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</si>
  <si>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</si>
  <si>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</si>
  <si>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</si>
  <si>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</si>
  <si>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</si>
  <si>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</si>
  <si>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</si>
  <si>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</si>
  <si>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</si>
  <si>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</si>
  <si>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</si>
  <si>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</si>
  <si>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</si>
  <si>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</si>
  <si>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</si>
  <si>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</si>
  <si>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Sony PlayStation  3</t>
  </si>
  <si>
    <t>Microsoft Xbox 360</t>
  </si>
  <si>
    <t>Total Activision and Blizzard</t>
  </si>
  <si>
    <t>Total Distribution</t>
  </si>
  <si>
    <t>Non-GAAP Net Revenues by Segment/Platform Mix</t>
  </si>
  <si>
    <t xml:space="preserve">Total Activision and Blizzard </t>
  </si>
  <si>
    <t>Online subscriptions*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</si>
  <si>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</si>
  <si>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</si>
  <si>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</si>
  <si>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</si>
  <si>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</si>
  <si>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</si>
  <si>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</si>
  <si>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</si>
  <si>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</si>
  <si>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</si>
  <si>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</si>
  <si>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</si>
  <si>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</si>
  <si>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</si>
  <si>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</si>
  <si>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</si>
  <si>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</si>
  <si>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</si>
  <si>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</si>
  <si>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</si>
  <si>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</si>
  <si>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</si>
  <si>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</si>
  <si>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</si>
  <si>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</si>
  <si>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</si>
  <si>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</si>
  <si>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</si>
  <si>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</si>
  <si>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</si>
  <si>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</si>
  <si>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</si>
  <si>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</si>
  <si>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</si>
  <si>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</si>
  <si>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</si>
  <si>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 expenses related to stock-based compensation;</t>
  </si>
  <si>
    <t>•• the income tax adjustments associated with any of the above items.</t>
  </si>
  <si>
    <t>GAAP Income Statements</t>
  </si>
  <si>
    <t>Non-GAAP earnings (loss) per share</t>
  </si>
  <si>
    <t>Total net revenues core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</si>
  <si>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</si>
  <si>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</si>
  <si>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</si>
  <si>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</si>
  <si>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</si>
  <si>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</si>
  <si>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</si>
  <si>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</si>
  <si>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</si>
  <si>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</si>
  <si>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</si>
  <si>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</si>
  <si>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</si>
  <si>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</si>
  <si>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</si>
  <si>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</si>
  <si>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</si>
  <si>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</si>
  <si>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</si>
  <si>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</si>
  <si>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</si>
  <si>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</si>
  <si>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</si>
  <si>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</si>
  <si>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</si>
  <si>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</si>
  <si>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</si>
  <si>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</si>
  <si>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</si>
  <si>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</si>
  <si>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</si>
  <si>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</si>
  <si>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</si>
  <si>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</si>
  <si>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</si>
  <si>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</si>
  <si>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</si>
  <si>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Total non-GAAP net revenues (2)</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</si>
  <si>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</si>
  <si>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</si>
  <si>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</si>
  <si>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t>(1) Excludes deferral and amortization of stock-based compensation expense.</t>
  </si>
  <si>
    <t xml:space="preserve">(2) Includes the net effects of capitalization, deferral, and amortization of stock-based compensation expense. </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</si>
  <si>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</si>
  <si>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</si>
  <si>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</si>
  <si>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</si>
  <si>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</si>
  <si>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</si>
  <si>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</si>
  <si>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</si>
  <si>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</si>
  <si>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</si>
  <si>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</si>
  <si>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</si>
  <si>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</si>
  <si>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</si>
  <si>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t>TTM</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</si>
  <si>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</si>
  <si>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</si>
  <si>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</si>
  <si>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</si>
  <si>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</si>
  <si>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</si>
  <si>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</si>
  <si>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</si>
  <si>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Three Months Ended December 31, 2011</t>
  </si>
  <si>
    <t>Less:  Impairment of goodwill</t>
  </si>
  <si>
    <t>Investment and other income (expense), net</t>
  </si>
  <si>
    <t>Reconciliation to consolidated operating income (loss):</t>
  </si>
  <si>
    <t>Proceeds from maturities of available-for-sale investments</t>
  </si>
  <si>
    <t>Net income</t>
  </si>
  <si>
    <t>Cost of sales - online subscriptions</t>
  </si>
  <si>
    <t>Cost of Sales - Online Subscriptions</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</si>
  <si>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</si>
  <si>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</si>
  <si>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</si>
  <si>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</si>
  <si>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</si>
  <si>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</si>
  <si>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</si>
  <si>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</si>
  <si>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</si>
  <si>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</si>
  <si>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r>
      <t xml:space="preserve">PC and other </t>
    </r>
    <r>
      <rPr>
        <vertAlign val="superscript"/>
        <sz val="9"/>
        <rFont val="Arial"/>
        <family val="2"/>
      </rPr>
      <t>3</t>
    </r>
  </si>
  <si>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</si>
  <si>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</si>
  <si>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r>
      <t xml:space="preserve">Sony PlayStation  3 </t>
    </r>
    <r>
      <rPr>
        <vertAlign val="superscript"/>
        <sz val="9"/>
        <rFont val="Arial"/>
        <family val="2"/>
      </rPr>
      <t>4</t>
    </r>
  </si>
  <si>
    <t>Sony PlayStation  2</t>
  </si>
  <si>
    <r>
      <t>4</t>
    </r>
    <r>
      <rPr>
        <sz val="9"/>
        <rFont val="Arial"/>
        <family val="2"/>
      </rPr>
      <t xml:space="preserve"> Due to immateriality, we started combining our net revenues from Sony PlayStation 2 with net revenues from Sony PlayStation 3 during the quarter ended September 30, 2012.</t>
    </r>
  </si>
  <si>
    <t>Three Months Ended December 31, 2012</t>
  </si>
  <si>
    <t>Tax payment related to net share settlements of restricted stock awards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</si>
  <si>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</si>
  <si>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Nintendo Wii and Wii U</t>
  </si>
  <si>
    <t xml:space="preserve">For the years ended December 31, </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</si>
  <si>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</si>
  <si>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</si>
  <si>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</si>
  <si>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</si>
  <si>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</si>
  <si>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</si>
  <si>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</si>
  <si>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</si>
  <si>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</si>
  <si>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</si>
  <si>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</si>
  <si>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</si>
  <si>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</si>
  <si>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</si>
  <si>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</si>
  <si>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r>
      <t xml:space="preserve">Other </t>
    </r>
    <r>
      <rPr>
        <vertAlign val="superscript"/>
        <sz val="9"/>
        <rFont val="Arial"/>
        <family val="2"/>
      </rPr>
      <t>3</t>
    </r>
  </si>
  <si>
    <t>PC</t>
  </si>
  <si>
    <t>the Skylanders franchise and other physical merchandise and accessories.</t>
  </si>
  <si>
    <r>
      <t>3</t>
    </r>
    <r>
      <rPr>
        <sz val="9"/>
        <rFont val="Arial"/>
        <family val="2"/>
      </rPr>
      <t xml:space="preserve"> Other includes revenues from handheld and mobile devices, as well as non-platform specific game related revenues such as standalone sales of toys and accessories products from</t>
    </r>
  </si>
  <si>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t>
    </r>
  </si>
  <si>
    <t>Three Months Ended June 30, 2013</t>
  </si>
  <si>
    <t>Three Months Ended September 30, 2013</t>
  </si>
  <si>
    <t>GAAP Net income (loss)</t>
  </si>
  <si>
    <t>Interest  (Income) / Expense, net</t>
  </si>
  <si>
    <t>Provision (benefit) for income taxes</t>
  </si>
  <si>
    <t>EBITDA</t>
  </si>
  <si>
    <t>Adjusted EBITDA</t>
  </si>
  <si>
    <t>Impairment of goodwill / intangible assets</t>
  </si>
  <si>
    <t>Deferral of net revenues and related cost of sales</t>
  </si>
  <si>
    <t>Restructuring expenses</t>
  </si>
  <si>
    <t xml:space="preserve">Other </t>
  </si>
  <si>
    <t>Q3 CY13</t>
  </si>
  <si>
    <t>Cash in escrow</t>
  </si>
  <si>
    <t>Long-term debt, net of current portion</t>
  </si>
  <si>
    <t>Participating securities</t>
  </si>
  <si>
    <t>* Quarterly figures are actual; YTD figures may not agree due to rounding.</t>
  </si>
  <si>
    <t>Operating Cash Flow - TTM</t>
  </si>
  <si>
    <t>Capital Expenditures - TTM</t>
  </si>
  <si>
    <t>Non-GAAP Free Cash Flow - TTM</t>
  </si>
  <si>
    <t>Non-GAAP free cash flow represents operating cash flow minus capital expenditures (which includes payment for acquisition intangible assets).</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</si>
  <si>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</si>
  <si>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</si>
  <si>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</si>
  <si>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</si>
  <si>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r>
      <t>•• the fees and other expenses related to the Purchase Transaction</t>
    </r>
    <r>
      <rPr>
        <vertAlign val="superscript"/>
        <sz val="10.5"/>
        <color indexed="8"/>
        <rFont val="Arial"/>
        <family val="2"/>
      </rPr>
      <t>2</t>
    </r>
    <r>
      <rPr>
        <sz val="10.5"/>
        <color indexed="8"/>
        <rFont val="Arial"/>
        <family val="2"/>
      </rPr>
      <t xml:space="preserve"> and related debt financings; and</t>
    </r>
  </si>
  <si>
    <r>
      <rPr>
        <vertAlign val="superscript"/>
        <sz val="9"/>
        <color indexed="8"/>
        <rFont val="Arial"/>
        <family val="2"/>
      </rPr>
      <t>2</t>
    </r>
    <r>
      <rPr>
        <sz val="9"/>
        <color indexed="8"/>
        <rFont val="Arial"/>
        <family val="2"/>
      </rPr>
      <t xml:space="preserve"> Reflects fees and other expenses related to the repurchase of 429 million shares of our common stock from Vivendi (the "Purchase Transaction") completed on October 11, 2013 and related debt financings. 
</t>
    </r>
  </si>
  <si>
    <t>(d) Reflects fees and other expenses related to the repurchase of 429 million shares of our common stock from Vivendi (the "Purchase Transaction") completed on October 11, 2013 and related debt financings.</t>
  </si>
  <si>
    <t>(e) Reflects impairment of goodwill.</t>
  </si>
  <si>
    <t>* Net revenues from digital online channel represent revenues from subscriptions and memberships, licensing royalties, value-added services, downloadable content, digitally distributed products, and</t>
  </si>
  <si>
    <t xml:space="preserve">   wireless devices.</t>
  </si>
  <si>
    <r>
      <t xml:space="preserve">   value-added services.  It also includes revenues from </t>
    </r>
    <r>
      <rPr>
        <i/>
        <sz val="9"/>
        <rFont val="Arial"/>
        <family val="2"/>
      </rPr>
      <t>Call of Duty Elite</t>
    </r>
    <r>
      <rPr>
        <sz val="9"/>
        <rFont val="Arial"/>
        <family val="2"/>
      </rPr>
      <t xml:space="preserve"> memberships. We have recorded a reduction of revenues of $8 million and $11 million during the three months</t>
    </r>
  </si>
  <si>
    <t xml:space="preserve">   ended June 30, 2013 and 2012, respectively.  Please refer to footnote 1 on our Form 10-Q for the quarters ended June 30, 2013 and 2012 for further details on this correction.</t>
  </si>
  <si>
    <t>•• the change in deferred revenues and related cost of sales with respect to certain of the company’s online-enabled games;</t>
  </si>
  <si>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revenues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 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</si>
  <si>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Non-GAAP free cash flow represents operating cash flow minus capital expenditures (which includes payment</t>
  </si>
  <si>
    <t>for acquisition intangible assets).</t>
  </si>
  <si>
    <t>Operating cash flow (hence, Non-GAAP free cash flow) does not include foreign exchange rate changes as</t>
  </si>
  <si>
    <t>cash and cash equivalents.</t>
  </si>
  <si>
    <t>GAAP Income Statements - as a % of Revenues</t>
  </si>
  <si>
    <t>Non-GAAP Income Statements - as a % of Revenues</t>
  </si>
  <si>
    <r>
      <t xml:space="preserve">Change in Deferred Revenues </t>
    </r>
    <r>
      <rPr>
        <b/>
        <vertAlign val="superscript"/>
        <sz val="9"/>
        <rFont val="Arial"/>
        <family val="2"/>
      </rPr>
      <t>1</t>
    </r>
  </si>
  <si>
    <r>
      <t>1</t>
    </r>
    <r>
      <rPr>
        <sz val="9"/>
        <rFont val="Arial"/>
        <family val="2"/>
      </rPr>
      <t xml:space="preserve"> We provide net revenues including (in accordance with GAAP) and excluding (non-GAAP) the impact of changes in deferred revenues.</t>
    </r>
  </si>
  <si>
    <t>Total changes in deferred revenues</t>
  </si>
  <si>
    <r>
      <t xml:space="preserve">Change in Deferred Revenues </t>
    </r>
    <r>
      <rPr>
        <sz val="9"/>
        <color theme="1"/>
        <rFont val="Arial"/>
        <family val="2"/>
      </rPr>
      <t>(1)</t>
    </r>
  </si>
  <si>
    <t xml:space="preserve">Total changes in deferred revenues </t>
  </si>
  <si>
    <t>(1) We provide net revenues including (in accordance with GAAP) and excluding (non-GAAP) the impact of changes in deferred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</si>
</sst>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0.000%"/>
  </numFmts>
  <fonts count="285">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2">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2" applyNumberFormat="0" applyFill="0" applyAlignment="0" applyProtection="0"/>
    <xf numFmtId="0" fontId="16" fillId="0" borderId="33" applyNumberFormat="0" applyFill="0" applyAlignment="0" applyProtection="0"/>
    <xf numFmtId="0" fontId="16" fillId="0" borderId="32" applyNumberFormat="0" applyFill="0" applyAlignment="0" applyProtection="0"/>
    <xf numFmtId="0" fontId="16" fillId="0" borderId="32"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3" applyNumberFormat="0" applyFill="0" applyAlignment="0" applyProtection="0"/>
    <xf numFmtId="0" fontId="51" fillId="0" borderId="34" applyNumberFormat="0" applyFill="0" applyProtection="0">
      <alignment horizontal="center"/>
    </xf>
    <xf numFmtId="0" fontId="51" fillId="0" borderId="34" applyNumberFormat="0" applyFill="0" applyProtection="0">
      <alignment horizontal="center"/>
    </xf>
    <xf numFmtId="0" fontId="51" fillId="0" borderId="34" applyNumberFormat="0" applyFill="0" applyProtection="0">
      <alignment horizontal="center"/>
    </xf>
    <xf numFmtId="0" fontId="51" fillId="0" borderId="34" applyNumberFormat="0" applyFill="0" applyProtection="0">
      <alignment horizontal="center"/>
    </xf>
    <xf numFmtId="0" fontId="51" fillId="0" borderId="34" applyNumberFormat="0" applyFill="0" applyProtection="0">
      <alignment horizontal="center"/>
    </xf>
    <xf numFmtId="0" fontId="51" fillId="0" borderId="34" applyNumberFormat="0" applyFill="0" applyProtection="0">
      <alignment horizontal="center"/>
    </xf>
    <xf numFmtId="0" fontId="4" fillId="0" borderId="35"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6">
      <alignment horizontal="center"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207" fontId="62" fillId="2" borderId="37"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8"/>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39">
      <alignment horizontal="center"/>
    </xf>
    <xf numFmtId="0" fontId="9" fillId="0" borderId="2" applyNumberFormat="0" applyFont="0" applyAlignment="0" applyProtection="0"/>
    <xf numFmtId="0" fontId="68" fillId="52" borderId="40">
      <alignment horizontal="center" vertical="center"/>
    </xf>
    <xf numFmtId="0" fontId="68" fillId="52" borderId="41">
      <alignment horizontal="center"/>
    </xf>
    <xf numFmtId="167" fontId="69" fillId="20" borderId="42">
      <alignment horizontal="center" vertical="center" wrapText="1"/>
    </xf>
    <xf numFmtId="0" fontId="70" fillId="0" borderId="0">
      <alignment vertical="center"/>
    </xf>
    <xf numFmtId="167" fontId="71" fillId="20" borderId="42">
      <alignment horizontal="left" vertical="center" wrapText="1"/>
    </xf>
    <xf numFmtId="0" fontId="72" fillId="20" borderId="0">
      <alignment horizontal="center"/>
    </xf>
    <xf numFmtId="167" fontId="73" fillId="20" borderId="42">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3"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4" applyNumberFormat="0" applyAlignment="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35" fillId="56" borderId="7"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1" fillId="20"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1" fillId="20"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1" fillId="20"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1" fillId="20" borderId="45" applyNumberFormat="0" applyAlignment="0" applyProtection="0"/>
    <xf numFmtId="0" fontId="80" fillId="2" borderId="45" applyNumberFormat="0" applyAlignment="0" applyProtection="0"/>
    <xf numFmtId="0" fontId="80" fillId="2" borderId="45" applyNumberFormat="0" applyAlignment="0" applyProtection="0"/>
    <xf numFmtId="0" fontId="80" fillId="2" borderId="45" applyNumberFormat="0" applyAlignment="0" applyProtection="0"/>
    <xf numFmtId="0" fontId="81" fillId="20" borderId="45"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5" fillId="58" borderId="9"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4" fillId="45" borderId="46"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7">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8">
      <alignment horizontal="center" vertical="center"/>
    </xf>
    <xf numFmtId="0" fontId="4" fillId="0" borderId="0" applyFont="0" applyFill="0" applyBorder="0" applyAlignment="0" applyProtection="0"/>
    <xf numFmtId="228" fontId="4" fillId="0" borderId="49" applyFont="0" applyFill="0" applyAlignment="0" applyProtection="0"/>
    <xf numFmtId="229" fontId="4" fillId="0" borderId="0" applyFont="0" applyFill="0" applyAlignment="0" applyProtection="0"/>
    <xf numFmtId="230" fontId="4" fillId="0" borderId="35"/>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0">
      <alignment horizontal="center" vertical="center"/>
    </xf>
    <xf numFmtId="0" fontId="74" fillId="0" borderId="50"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1">
      <alignment vertical="center"/>
    </xf>
    <xf numFmtId="15" fontId="102" fillId="63" borderId="0" applyNumberFormat="0" applyFont="0" applyBorder="0" applyAlignment="0" applyProtection="0"/>
    <xf numFmtId="3" fontId="93" fillId="0" borderId="52"/>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39"/>
    <xf numFmtId="237" fontId="4" fillId="0" borderId="53"/>
    <xf numFmtId="237" fontId="4" fillId="0" borderId="2"/>
    <xf numFmtId="237" fontId="4" fillId="0" borderId="4"/>
    <xf numFmtId="0" fontId="4" fillId="0" borderId="54"/>
    <xf numFmtId="0" fontId="4" fillId="0" borderId="55"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39"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39" applyFont="0" applyFill="0" applyBorder="0" applyAlignment="0" applyProtection="0"/>
    <xf numFmtId="0" fontId="37" fillId="0" borderId="39"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6">
      <alignment vertical="center"/>
    </xf>
    <xf numFmtId="207" fontId="120" fillId="54" borderId="57">
      <alignment horizontal="left" vertical="center" indent="1"/>
    </xf>
    <xf numFmtId="0" fontId="9" fillId="0" borderId="58" applyNumberFormat="0" applyAlignment="0" applyProtection="0">
      <alignment horizontal="left" vertical="center"/>
    </xf>
    <xf numFmtId="0" fontId="9" fillId="0" borderId="6">
      <alignment horizontal="left" vertical="center"/>
    </xf>
    <xf numFmtId="0" fontId="119" fillId="0" borderId="59" applyNumberFormat="0" applyFill="0">
      <alignment horizontal="center" vertical="top"/>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1" fillId="2" borderId="60" applyNumberFormat="0">
      <alignment horizontal="left" vertical="center" indent="1"/>
    </xf>
    <xf numFmtId="0" fontId="122" fillId="5" borderId="0" applyNumberFormat="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5" fillId="0" borderId="62"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5" fillId="0" borderId="62"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5" fillId="0" borderId="62"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3" fillId="0" borderId="61" applyNumberFormat="0" applyFill="0" applyAlignment="0" applyProtection="0"/>
    <xf numFmtId="0" fontId="124" fillId="0" borderId="0"/>
    <xf numFmtId="0" fontId="123" fillId="0" borderId="61" applyNumberFormat="0" applyFill="0" applyAlignment="0" applyProtection="0"/>
    <xf numFmtId="0" fontId="125" fillId="0" borderId="62"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3" fillId="0" borderId="61"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8" fillId="0" borderId="64"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8" fillId="0" borderId="64"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8" fillId="0" borderId="64"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6" fillId="0" borderId="63" applyNumberFormat="0" applyFill="0" applyAlignment="0" applyProtection="0"/>
    <xf numFmtId="0" fontId="128" fillId="0" borderId="64"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6" fillId="0" borderId="63" applyNumberFormat="0" applyFill="0" applyAlignment="0" applyProtection="0"/>
    <xf numFmtId="0" fontId="127"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1" fillId="0" borderId="66"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1" fillId="0" borderId="66"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1" fillId="0" borderId="66"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65" applyNumberFormat="0" applyFill="0" applyAlignment="0" applyProtection="0"/>
    <xf numFmtId="0" fontId="131" fillId="0" borderId="66"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29" fillId="0" borderId="65"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7" applyNumberFormat="0" applyFill="0" applyAlignment="0" applyProtection="0"/>
    <xf numFmtId="0" fontId="74" fillId="5" borderId="68">
      <alignment horizontal="left" vertical="center" wrapText="1"/>
    </xf>
    <xf numFmtId="0" fontId="24" fillId="0" borderId="69" applyNumberFormat="0" applyAlignment="0"/>
    <xf numFmtId="0" fontId="138" fillId="0" borderId="0"/>
    <xf numFmtId="9" fontId="139" fillId="0" borderId="38"/>
    <xf numFmtId="0" fontId="139" fillId="0" borderId="38"/>
    <xf numFmtId="10" fontId="139" fillId="0" borderId="38"/>
    <xf numFmtId="0" fontId="139" fillId="0" borderId="38"/>
    <xf numFmtId="4" fontId="139" fillId="0" borderId="38"/>
    <xf numFmtId="10" fontId="37" fillId="8" borderId="39" applyNumberFormat="0" applyBorder="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33" fillId="17" borderId="7"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140" fillId="17" borderId="45"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0">
      <alignment horizontal="center"/>
      <protection locked="0"/>
    </xf>
    <xf numFmtId="37" fontId="43" fillId="8" borderId="70">
      <alignment horizontal="right"/>
      <protection locked="0"/>
    </xf>
    <xf numFmtId="9" fontId="143" fillId="8" borderId="70">
      <alignment horizontal="right"/>
      <protection locked="0"/>
    </xf>
    <xf numFmtId="37" fontId="62" fillId="0" borderId="70">
      <alignment horizontal="right"/>
    </xf>
    <xf numFmtId="166" fontId="37" fillId="0" borderId="70">
      <alignment horizontal="right"/>
    </xf>
    <xf numFmtId="0" fontId="144" fillId="0" borderId="0"/>
    <xf numFmtId="250" fontId="4" fillId="0" borderId="0">
      <alignment horizontal="right"/>
    </xf>
    <xf numFmtId="1" fontId="145" fillId="1" borderId="53">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1"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1"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1"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1"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0" fillId="0" borderId="71" applyNumberFormat="0" applyFill="0" applyAlignment="0" applyProtection="0"/>
    <xf numFmtId="0" fontId="151" fillId="0" borderId="71"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2"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0">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39"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3">
      <alignment horizontal="left" vertical="center" indent="2"/>
    </xf>
    <xf numFmtId="0" fontId="4" fillId="0" borderId="0"/>
    <xf numFmtId="0" fontId="4" fillId="0" borderId="0"/>
    <xf numFmtId="4" fontId="62" fillId="2" borderId="33">
      <alignment horizontal="left" vertical="center" indent="2"/>
    </xf>
    <xf numFmtId="0" fontId="4" fillId="0" borderId="0"/>
    <xf numFmtId="0" fontId="4" fillId="0" borderId="0"/>
    <xf numFmtId="4" fontId="62" fillId="2" borderId="33">
      <alignment horizontal="left" vertical="center" indent="2"/>
    </xf>
    <xf numFmtId="0" fontId="4" fillId="0" borderId="0"/>
    <xf numFmtId="4" fontId="62" fillId="2" borderId="33">
      <alignment horizontal="left" vertical="center" indent="2"/>
    </xf>
    <xf numFmtId="0" fontId="4" fillId="0" borderId="0"/>
    <xf numFmtId="4" fontId="62" fillId="2" borderId="33">
      <alignment horizontal="left" vertical="center" indent="2"/>
    </xf>
    <xf numFmtId="0" fontId="4" fillId="0" borderId="0"/>
    <xf numFmtId="4" fontId="62" fillId="2" borderId="33">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3">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3">
      <alignment horizontal="left" vertical="center" indent="2"/>
    </xf>
    <xf numFmtId="0" fontId="12" fillId="0" borderId="0"/>
    <xf numFmtId="0" fontId="12" fillId="0" borderId="0"/>
    <xf numFmtId="4" fontId="62" fillId="2" borderId="33">
      <alignment horizontal="left" vertical="center" indent="2"/>
    </xf>
    <xf numFmtId="0" fontId="12" fillId="0" borderId="0"/>
    <xf numFmtId="0" fontId="12" fillId="0" borderId="0"/>
    <xf numFmtId="4" fontId="62" fillId="2" borderId="33">
      <alignment horizontal="left" vertical="center" indent="2"/>
    </xf>
    <xf numFmtId="0" fontId="4" fillId="0" borderId="0"/>
    <xf numFmtId="0" fontId="4" fillId="0" borderId="0"/>
    <xf numFmtId="4" fontId="62" fillId="2" borderId="33">
      <alignment horizontal="left" vertical="center" indent="2"/>
    </xf>
    <xf numFmtId="0" fontId="12" fillId="0" borderId="0"/>
    <xf numFmtId="0" fontId="12" fillId="0" borderId="0"/>
    <xf numFmtId="4" fontId="62" fillId="2" borderId="33">
      <alignment horizontal="left" vertical="center" indent="2"/>
    </xf>
    <xf numFmtId="0" fontId="4" fillId="0" borderId="0"/>
    <xf numFmtId="0" fontId="4" fillId="0" borderId="0"/>
    <xf numFmtId="4" fontId="62" fillId="2" borderId="33">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3">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55" fillId="8" borderId="10"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12"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4" fillId="8" borderId="73" applyNumberFormat="0" applyFont="0" applyAlignment="0" applyProtection="0"/>
    <xf numFmtId="0" fontId="165" fillId="0" borderId="74"/>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5">
      <alignment horizontal="center" vertical="top" wrapText="1"/>
      <protection locked="0"/>
    </xf>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34" fillId="56" borderId="8"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0"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0"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0"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0"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 borderId="76" applyNumberFormat="0" applyAlignment="0" applyProtection="0"/>
    <xf numFmtId="0" fontId="169" fillId="20" borderId="76"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39"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0">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2"/>
    <xf numFmtId="9" fontId="185" fillId="0" borderId="52"/>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4" applyNumberFormat="0" applyAlignment="0">
      <protection locked="0"/>
    </xf>
    <xf numFmtId="0" fontId="195" fillId="0" borderId="77">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8">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79"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0" applyBorder="0"/>
    <xf numFmtId="37" fontId="37" fillId="0" borderId="80" applyBorder="0"/>
    <xf numFmtId="37" fontId="99" fillId="0" borderId="80" applyBorder="0"/>
    <xf numFmtId="37" fontId="4" fillId="0" borderId="80" applyBorder="0"/>
    <xf numFmtId="37" fontId="83" fillId="0" borderId="80" applyBorder="0"/>
    <xf numFmtId="37" fontId="201" fillId="69" borderId="81"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39" applyFont="0" applyFill="0" applyBorder="0" applyAlignment="0" applyProtection="0">
      <protection locked="0" hidden="1"/>
    </xf>
    <xf numFmtId="0" fontId="74" fillId="0" borderId="68">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8">
      <alignment horizontal="center" wrapText="1"/>
    </xf>
    <xf numFmtId="0" fontId="74" fillId="17" borderId="68">
      <alignment horizontal="left" vertical="top" wrapText="1"/>
    </xf>
    <xf numFmtId="0" fontId="74" fillId="8" borderId="78">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74" fillId="8" borderId="68">
      <alignment horizontal="center" vertical="center" wrapText="1"/>
    </xf>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220" fillId="0" borderId="11"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4"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4"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4"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0" fontId="13" fillId="0" borderId="82" applyNumberFormat="0" applyFill="0" applyAlignment="0" applyProtection="0"/>
    <xf numFmtId="0" fontId="13" fillId="0" borderId="84"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3" fillId="0" borderId="82" applyNumberFormat="0" applyFill="0" applyAlignment="0" applyProtection="0"/>
    <xf numFmtId="0" fontId="10" fillId="0" borderId="83" applyNumberFormat="0" applyFont="0" applyFill="0" applyAlignment="0" applyProtection="0"/>
    <xf numFmtId="15" fontId="221" fillId="17" borderId="85">
      <alignment horizontal="center" vertical="center"/>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74" fillId="5" borderId="68">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7" applyProtection="0"/>
    <xf numFmtId="41" fontId="224" fillId="2" borderId="0">
      <alignment horizontal="center"/>
    </xf>
    <xf numFmtId="0" fontId="78" fillId="0" borderId="86"/>
    <xf numFmtId="278" fontId="37" fillId="0" borderId="0">
      <alignment horizontal="center"/>
    </xf>
    <xf numFmtId="249" fontId="37" fillId="0" borderId="70">
      <alignment horizontal="center"/>
    </xf>
    <xf numFmtId="37" fontId="37" fillId="0" borderId="70">
      <alignment horizontal="right"/>
    </xf>
    <xf numFmtId="9" fontId="62" fillId="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37" fontId="62"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166" fontId="37" fillId="20" borderId="70">
      <alignment horizontal="right"/>
    </xf>
    <xf numFmtId="41" fontId="225" fillId="0" borderId="0" applyNumberFormat="0" applyAlignment="0">
      <alignment horizontal="right"/>
    </xf>
    <xf numFmtId="37" fontId="99" fillId="20" borderId="70">
      <alignment horizontal="right"/>
    </xf>
    <xf numFmtId="37" fontId="226" fillId="20" borderId="70">
      <alignment horizontal="right"/>
    </xf>
    <xf numFmtId="37" fontId="37" fillId="20" borderId="70">
      <alignment horizontal="right"/>
    </xf>
    <xf numFmtId="9" fontId="62" fillId="20" borderId="70">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39"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3"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4"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2" applyNumberFormat="0" applyFill="0" applyAlignment="0" applyProtection="0">
      <alignment vertical="center"/>
    </xf>
    <xf numFmtId="0" fontId="242" fillId="0" borderId="64" applyNumberFormat="0" applyFill="0" applyAlignment="0" applyProtection="0">
      <alignment vertical="center"/>
    </xf>
    <xf numFmtId="0" fontId="243" fillId="0" borderId="66" applyNumberFormat="0" applyFill="0" applyAlignment="0" applyProtection="0">
      <alignment vertical="center"/>
    </xf>
    <xf numFmtId="0" fontId="243" fillId="0" borderId="0" applyNumberFormat="0" applyFill="0" applyBorder="0" applyAlignment="0" applyProtection="0">
      <alignment vertical="center"/>
    </xf>
    <xf numFmtId="0" fontId="244" fillId="45" borderId="46" applyNumberFormat="0" applyAlignment="0" applyProtection="0">
      <alignment vertical="center"/>
    </xf>
    <xf numFmtId="0" fontId="245" fillId="0" borderId="0" applyNumberFormat="0" applyFill="0" applyBorder="0" applyAlignment="0" applyProtection="0">
      <alignment vertical="center"/>
    </xf>
    <xf numFmtId="0" fontId="246" fillId="0" borderId="62" applyNumberFormat="0" applyFill="0" applyAlignment="0" applyProtection="0">
      <alignment vertical="center"/>
    </xf>
    <xf numFmtId="0" fontId="247" fillId="0" borderId="64" applyNumberFormat="0" applyFill="0" applyAlignment="0" applyProtection="0">
      <alignment vertical="center"/>
    </xf>
    <xf numFmtId="0" fontId="248" fillId="0" borderId="66" applyNumberFormat="0" applyFill="0" applyAlignment="0" applyProtection="0">
      <alignment vertical="center"/>
    </xf>
    <xf numFmtId="0" fontId="248" fillId="0" borderId="0" applyNumberFormat="0" applyFill="0" applyBorder="0" applyAlignment="0" applyProtection="0">
      <alignment vertical="center"/>
    </xf>
    <xf numFmtId="0" fontId="249" fillId="45" borderId="46" applyNumberFormat="0" applyAlignment="0" applyProtection="0">
      <alignment vertical="center"/>
    </xf>
    <xf numFmtId="0" fontId="250" fillId="0" borderId="84" applyNumberFormat="0" applyFill="0" applyAlignment="0" applyProtection="0">
      <alignment vertical="center"/>
    </xf>
    <xf numFmtId="0" fontId="4" fillId="8" borderId="73" applyNumberFormat="0" applyFont="0" applyAlignment="0" applyProtection="0">
      <alignment vertical="center"/>
    </xf>
    <xf numFmtId="0" fontId="251" fillId="0" borderId="0" applyNumberFormat="0" applyFill="0" applyBorder="0" applyAlignment="0" applyProtection="0">
      <alignment vertical="center"/>
    </xf>
    <xf numFmtId="0" fontId="252" fillId="20" borderId="45"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5"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5" applyNumberFormat="0" applyAlignment="0" applyProtection="0">
      <alignment vertical="center"/>
    </xf>
    <xf numFmtId="0" fontId="258" fillId="20" borderId="76" applyNumberFormat="0" applyAlignment="0" applyProtection="0">
      <alignment vertical="center"/>
    </xf>
    <xf numFmtId="0" fontId="259" fillId="17" borderId="45" applyNumberFormat="0" applyAlignment="0" applyProtection="0">
      <alignment vertical="center"/>
    </xf>
    <xf numFmtId="0" fontId="260" fillId="20" borderId="76" applyNumberFormat="0" applyAlignment="0" applyProtection="0">
      <alignment vertical="center"/>
    </xf>
    <xf numFmtId="0" fontId="261" fillId="5" borderId="0" applyNumberFormat="0" applyBorder="0" applyAlignment="0" applyProtection="0">
      <alignment vertical="center"/>
    </xf>
    <xf numFmtId="0" fontId="262" fillId="0" borderId="71" applyNumberFormat="0" applyFill="0" applyAlignment="0" applyProtection="0">
      <alignment vertical="center"/>
    </xf>
    <xf numFmtId="0" fontId="263" fillId="0" borderId="71"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3" fillId="0" borderId="0" applyNumberFormat="0" applyFill="0" applyBorder="0" applyAlignment="0" applyProtection="0"/>
    <xf numFmtId="0" fontId="30" fillId="65" borderId="0" applyNumberFormat="0" applyBorder="0" applyAlignment="0" applyProtection="0"/>
    <xf numFmtId="0" fontId="274" fillId="0" borderId="97" applyNumberFormat="0" applyFill="0" applyAlignment="0" applyProtection="0"/>
    <xf numFmtId="0" fontId="275" fillId="0" borderId="98" applyNumberFormat="0" applyFill="0" applyAlignment="0" applyProtection="0"/>
    <xf numFmtId="0" fontId="276" fillId="0" borderId="99" applyNumberFormat="0" applyFill="0" applyAlignment="0" applyProtection="0"/>
    <xf numFmtId="0" fontId="276" fillId="0" borderId="0" applyNumberFormat="0" applyFill="0" applyBorder="0" applyAlignment="0" applyProtection="0"/>
    <xf numFmtId="0" fontId="33" fillId="17" borderId="7" applyNumberFormat="0" applyAlignment="0" applyProtection="0"/>
    <xf numFmtId="0" fontId="277" fillId="0" borderId="100"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452">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3"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89"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1"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1"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1"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94" xfId="2" applyNumberFormat="1" applyFont="1" applyFill="1" applyBorder="1"/>
    <xf numFmtId="164" fontId="1" fillId="75" borderId="95" xfId="2" applyNumberFormat="1" applyFont="1" applyFill="1" applyBorder="1"/>
    <xf numFmtId="164" fontId="1" fillId="75" borderId="2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8"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89"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5" xfId="2" applyNumberFormat="1" applyFont="1" applyFill="1" applyBorder="1"/>
    <xf numFmtId="44" fontId="1" fillId="75" borderId="20" xfId="2" quotePrefix="1" applyFont="1" applyFill="1" applyBorder="1" applyAlignment="1">
      <alignment horizontal="right"/>
    </xf>
    <xf numFmtId="44" fontId="1" fillId="75" borderId="26" xfId="2" applyFont="1" applyFill="1" applyBorder="1" applyAlignment="1">
      <alignment horizontal="right"/>
    </xf>
    <xf numFmtId="164" fontId="1" fillId="75" borderId="0" xfId="4" applyNumberFormat="1" applyFont="1" applyFill="1" applyBorder="1"/>
    <xf numFmtId="164" fontId="1" fillId="75" borderId="29"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0" xfId="10" applyNumberFormat="1" applyFont="1" applyFill="1" applyBorder="1"/>
    <xf numFmtId="164" fontId="1" fillId="75" borderId="31"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4"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6" xfId="2" applyNumberFormat="1" applyFont="1" applyFill="1" applyBorder="1"/>
    <xf numFmtId="164" fontId="1" fillId="75" borderId="27"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4"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29"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0" xfId="3419" applyNumberFormat="1" applyFont="1" applyFill="1" applyBorder="1"/>
    <xf numFmtId="164" fontId="1" fillId="75" borderId="31"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8" xfId="6" quotePrefix="1" applyNumberFormat="1" applyFont="1" applyFill="1" applyBorder="1" applyAlignment="1">
      <alignment horizontal="right"/>
    </xf>
    <xf numFmtId="167" fontId="1" fillId="75" borderId="96"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164" fontId="1" fillId="75" borderId="4" xfId="2" applyNumberFormat="1" applyFont="1" applyFill="1" applyBorder="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0" fontId="3" fillId="75" borderId="0" xfId="5" applyFont="1" applyFill="1" applyBorder="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0" fontId="268" fillId="75" borderId="0" xfId="5" applyFont="1" applyFill="1" applyBorder="1"/>
    <xf numFmtId="165" fontId="1" fillId="75" borderId="0" xfId="6" applyNumberFormat="1" applyFont="1" applyFill="1" applyBorder="1" applyAlignment="1">
      <alignment horizontal="center"/>
    </xf>
    <xf numFmtId="0" fontId="1" fillId="75" borderId="0" xfId="5" applyFont="1" applyFill="1" applyBorder="1" applyAlignment="1">
      <alignment horizontal="center"/>
    </xf>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9" fillId="75" borderId="0" xfId="5" applyFont="1" applyFill="1" applyBorder="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1" xfId="6" applyNumberFormat="1" applyFont="1" applyFill="1" applyBorder="1" applyAlignment="1">
      <alignment horizontal="center"/>
    </xf>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2" fillId="0" borderId="0" xfId="0" applyFont="1" applyFill="1"/>
    <xf numFmtId="44" fontId="278"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0" fontId="3" fillId="0" borderId="0" xfId="5" applyFont="1" applyFill="1" applyBorder="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xf numFmtId="165" fontId="1" fillId="0" borderId="1" xfId="1" applyNumberFormat="1" applyFont="1" applyFill="1" applyBorder="1"/>
    <xf numFmtId="165" fontId="1" fillId="0" borderId="3" xfId="1" applyNumberFormat="1" applyFont="1" applyFill="1" applyBorder="1" applyAlignment="1">
      <alignment horizontal="center"/>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164" fontId="3" fillId="0" borderId="15" xfId="8" applyNumberFormat="1" applyFont="1" applyFill="1" applyBorder="1" applyAlignment="1">
      <alignment horizontal="center" wrapText="1"/>
    </xf>
    <xf numFmtId="164" fontId="3" fillId="0" borderId="89" xfId="8" applyNumberFormat="1" applyFont="1" applyFill="1" applyBorder="1" applyAlignment="1">
      <alignment horizontal="center" wrapText="1"/>
    </xf>
    <xf numFmtId="44" fontId="1" fillId="0" borderId="90" xfId="2" applyFont="1" applyFill="1" applyBorder="1" applyAlignment="1"/>
    <xf numFmtId="44" fontId="1" fillId="0" borderId="22" xfId="2" applyFont="1" applyFill="1" applyBorder="1" applyAlignment="1">
      <alignment horizontal="right"/>
    </xf>
    <xf numFmtId="43" fontId="1" fillId="0" borderId="74"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4"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1"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6"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2" fillId="75" borderId="0" xfId="0" applyFont="1" applyFill="1"/>
    <xf numFmtId="0" fontId="23" fillId="75" borderId="0" xfId="0" applyFont="1" applyFill="1"/>
    <xf numFmtId="0" fontId="23" fillId="2" borderId="0" xfId="0" applyFont="1" applyFill="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79"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0"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1"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1"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1"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65" fontId="1" fillId="0" borderId="0" xfId="6" applyNumberFormat="1" applyFont="1" applyFill="1" applyAlignment="1">
      <alignment horizontal="center"/>
    </xf>
    <xf numFmtId="10" fontId="0" fillId="75" borderId="0" xfId="3" applyNumberFormat="1" applyFont="1" applyFill="1"/>
    <xf numFmtId="41" fontId="0" fillId="2" borderId="0" xfId="0" applyNumberFormat="1" applyFill="1"/>
    <xf numFmtId="0" fontId="269" fillId="0" borderId="0" xfId="5" applyFont="1" applyFill="1" applyBorder="1"/>
    <xf numFmtId="0" fontId="269"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7" fillId="2" borderId="0" xfId="0" applyFont="1" applyFill="1" applyBorder="1"/>
    <xf numFmtId="165" fontId="267" fillId="2" borderId="0" xfId="1" applyNumberFormat="1" applyFont="1" applyFill="1"/>
    <xf numFmtId="165" fontId="267" fillId="0" borderId="0" xfId="1" applyNumberFormat="1" applyFont="1" applyFill="1"/>
    <xf numFmtId="165" fontId="266" fillId="0" borderId="0" xfId="1" applyNumberFormat="1" applyFont="1" applyFill="1"/>
    <xf numFmtId="165" fontId="267" fillId="2" borderId="0" xfId="0" applyNumberFormat="1" applyFont="1" applyFill="1"/>
    <xf numFmtId="166" fontId="266" fillId="75" borderId="0" xfId="3" applyNumberFormat="1" applyFont="1" applyFill="1" applyBorder="1" applyAlignment="1">
      <alignment horizontal="right" wrapText="1"/>
    </xf>
    <xf numFmtId="42" fontId="3" fillId="0" borderId="0" xfId="0" applyNumberFormat="1" applyFont="1" applyFill="1" applyBorder="1" applyAlignment="1"/>
    <xf numFmtId="165" fontId="267" fillId="0" borderId="1" xfId="1" applyNumberFormat="1" applyFont="1" applyFill="1" applyBorder="1"/>
    <xf numFmtId="42" fontId="266" fillId="0" borderId="87" xfId="0" applyNumberFormat="1" applyFont="1" applyFill="1" applyBorder="1"/>
    <xf numFmtId="165" fontId="0" fillId="2" borderId="0" xfId="0" applyNumberFormat="1" applyFill="1"/>
    <xf numFmtId="43" fontId="16" fillId="2" borderId="0" xfId="1" applyNumberFormat="1" applyFont="1" applyFill="1"/>
    <xf numFmtId="42" fontId="267" fillId="0" borderId="0" xfId="1" applyNumberFormat="1" applyFont="1" applyFill="1"/>
    <xf numFmtId="42" fontId="267" fillId="0" borderId="1" xfId="1" applyNumberFormat="1" applyFont="1" applyFill="1" applyBorder="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9" fillId="75" borderId="0" xfId="5" applyFont="1" applyFill="1" applyBorder="1" applyAlignment="1">
      <alignment vertical="top"/>
    </xf>
    <xf numFmtId="294" fontId="3" fillId="0" borderId="0" xfId="3" applyNumberFormat="1" applyFont="1" applyFill="1" applyBorder="1" applyAlignment="1"/>
    <xf numFmtId="0" fontId="16" fillId="0" borderId="0" xfId="0" applyFont="1" applyFill="1" applyAlignment="1">
      <alignment horizontal="left" vertical="top" wrapText="1" readingOrder="1"/>
    </xf>
    <xf numFmtId="0" fontId="282"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2"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tabSelected="1" view="pageBreakPreview" zoomScaleNormal="90" zoomScaleSheetLayoutView="100" workbookViewId="0">
      <selection activeCell="S7" sqref="S7"/>
    </sheetView>
  </sheetViews>
  <sheetFormatPr defaultRowHeight="15"/>
  <cols>
    <col min="1" max="16384" width="9.140625" style="262"/>
  </cols>
  <sheetData>
    <row r="3" spans="1:18" ht="48.75">
      <c r="A3" s="364" t="s">
        <v>34</v>
      </c>
      <c r="N3" s="365"/>
    </row>
    <row r="4" spans="1:18" ht="12" customHeight="1">
      <c r="A4" s="364"/>
      <c r="N4" s="365"/>
    </row>
    <row r="5" spans="1:18" ht="15.75" thickBot="1">
      <c r="A5" s="366"/>
      <c r="B5" s="366"/>
      <c r="C5" s="366"/>
      <c r="D5" s="366"/>
      <c r="E5" s="366"/>
      <c r="F5" s="366"/>
      <c r="G5" s="366"/>
      <c r="H5" s="366"/>
      <c r="I5" s="366"/>
      <c r="J5" s="366"/>
      <c r="K5" s="366"/>
      <c r="L5" s="366"/>
      <c r="M5" s="366"/>
      <c r="N5" s="366"/>
      <c r="O5" s="366"/>
      <c r="P5" s="366"/>
      <c r="Q5" s="366"/>
      <c r="R5" s="366"/>
    </row>
    <row r="6" spans="1:18" ht="6" customHeight="1">
      <c r="A6" s="372"/>
      <c r="B6" s="371"/>
      <c r="C6" s="371"/>
      <c r="D6" s="371"/>
      <c r="E6" s="371"/>
      <c r="F6" s="371"/>
      <c r="G6" s="371"/>
      <c r="H6" s="371"/>
      <c r="I6" s="371"/>
      <c r="J6" s="371"/>
      <c r="K6" s="371"/>
      <c r="L6" s="371"/>
      <c r="M6" s="371"/>
      <c r="N6" s="371"/>
      <c r="O6" s="371"/>
    </row>
    <row r="7" spans="1:18" ht="55.5" customHeight="1">
      <c r="A7" s="426" t="s">
        <v>233</v>
      </c>
      <c r="B7" s="428"/>
      <c r="C7" s="428"/>
      <c r="D7" s="428"/>
      <c r="E7" s="428"/>
      <c r="F7" s="428"/>
      <c r="G7" s="428"/>
      <c r="H7" s="428"/>
      <c r="I7" s="428"/>
      <c r="J7" s="428"/>
      <c r="K7" s="428"/>
      <c r="L7" s="428"/>
      <c r="M7" s="428"/>
      <c r="N7" s="428"/>
      <c r="O7" s="428"/>
      <c r="P7" s="428"/>
      <c r="Q7" s="428"/>
      <c r="R7" s="428"/>
    </row>
    <row r="8" spans="1:18" ht="6" customHeight="1">
      <c r="A8" s="372"/>
      <c r="B8" s="371"/>
      <c r="C8" s="371"/>
      <c r="D8" s="371"/>
      <c r="E8" s="371"/>
      <c r="F8" s="371"/>
      <c r="G8" s="371"/>
      <c r="H8" s="371"/>
      <c r="I8" s="371"/>
      <c r="J8" s="371"/>
      <c r="K8" s="371"/>
      <c r="L8" s="371"/>
      <c r="M8" s="371"/>
      <c r="N8" s="371"/>
      <c r="O8" s="371"/>
    </row>
    <row r="9" spans="1:18" ht="57.75" customHeight="1">
      <c r="A9" s="426" t="s">
        <v>279</v>
      </c>
      <c r="B9" s="428"/>
      <c r="C9" s="428"/>
      <c r="D9" s="428"/>
      <c r="E9" s="428"/>
      <c r="F9" s="428"/>
      <c r="G9" s="428"/>
      <c r="H9" s="428"/>
      <c r="I9" s="428"/>
      <c r="J9" s="428"/>
      <c r="K9" s="428"/>
      <c r="L9" s="428"/>
      <c r="M9" s="428"/>
      <c r="N9" s="428"/>
      <c r="O9" s="428"/>
      <c r="P9" s="428"/>
      <c r="Q9" s="428"/>
      <c r="R9" s="428"/>
    </row>
    <row r="10" spans="1:18">
      <c r="A10" s="367"/>
      <c r="B10" s="368"/>
      <c r="C10" s="368"/>
      <c r="D10" s="368"/>
      <c r="E10" s="368"/>
      <c r="F10" s="368"/>
      <c r="G10" s="368"/>
      <c r="H10" s="368"/>
      <c r="I10" s="368"/>
      <c r="J10" s="368"/>
      <c r="K10" s="368"/>
      <c r="L10" s="368"/>
      <c r="M10" s="368"/>
      <c r="N10" s="368"/>
      <c r="O10" s="368"/>
    </row>
    <row r="11" spans="1:18">
      <c r="A11" s="369" t="s">
        <v>288</v>
      </c>
    </row>
    <row r="12" spans="1:18">
      <c r="A12" s="369" t="s">
        <v>136</v>
      </c>
    </row>
    <row r="13" spans="1:18">
      <c r="A13" s="429" t="s">
        <v>190</v>
      </c>
      <c r="B13" s="429"/>
      <c r="C13" s="429"/>
      <c r="D13" s="429"/>
      <c r="E13" s="429"/>
      <c r="F13" s="429"/>
      <c r="G13" s="429"/>
      <c r="H13" s="429"/>
      <c r="I13" s="429"/>
      <c r="J13" s="429"/>
      <c r="K13" s="429"/>
      <c r="L13" s="429"/>
      <c r="M13" s="429"/>
      <c r="N13" s="429"/>
      <c r="O13" s="429"/>
      <c r="P13" s="429"/>
      <c r="Q13" s="429"/>
      <c r="R13" s="429"/>
    </row>
    <row r="14" spans="1:18">
      <c r="A14" s="369" t="s">
        <v>219</v>
      </c>
    </row>
    <row r="15" spans="1:18">
      <c r="A15" s="369" t="s">
        <v>276</v>
      </c>
    </row>
    <row r="16" spans="1:18" ht="16.5">
      <c r="A16" s="369" t="s">
        <v>280</v>
      </c>
    </row>
    <row r="17" spans="1:18">
      <c r="A17" s="369" t="s">
        <v>137</v>
      </c>
    </row>
    <row r="18" spans="1:18" ht="6" customHeight="1">
      <c r="A18" s="372"/>
      <c r="B18" s="371"/>
      <c r="C18" s="371"/>
      <c r="D18" s="371"/>
      <c r="E18" s="371"/>
      <c r="F18" s="371"/>
      <c r="G18" s="371"/>
      <c r="H18" s="371"/>
      <c r="I18" s="371"/>
      <c r="J18" s="371"/>
      <c r="K18" s="371"/>
      <c r="L18" s="371"/>
      <c r="M18" s="371"/>
      <c r="N18" s="371"/>
      <c r="O18" s="371"/>
    </row>
    <row r="19" spans="1:18" ht="391.5" customHeight="1">
      <c r="A19" s="426" t="s">
        <v>289</v>
      </c>
      <c r="B19" s="427"/>
      <c r="C19" s="427"/>
      <c r="D19" s="427"/>
      <c r="E19" s="427"/>
      <c r="F19" s="427"/>
      <c r="G19" s="427"/>
      <c r="H19" s="427"/>
      <c r="I19" s="427"/>
      <c r="J19" s="427"/>
      <c r="K19" s="427"/>
      <c r="L19" s="427"/>
      <c r="M19" s="427"/>
      <c r="N19" s="427"/>
      <c r="O19" s="427"/>
      <c r="P19" s="427"/>
      <c r="Q19" s="427"/>
      <c r="R19" s="427"/>
    </row>
    <row r="20" spans="1:18" ht="6" customHeight="1">
      <c r="A20" s="372"/>
      <c r="B20" s="371"/>
      <c r="C20" s="371"/>
      <c r="D20" s="371"/>
      <c r="E20" s="371"/>
      <c r="F20" s="371"/>
      <c r="G20" s="371"/>
      <c r="H20" s="371"/>
      <c r="I20" s="371"/>
      <c r="J20" s="371"/>
      <c r="K20" s="371"/>
      <c r="L20" s="371"/>
      <c r="M20" s="371"/>
      <c r="N20" s="371"/>
      <c r="O20" s="371"/>
    </row>
    <row r="21" spans="1:18" ht="34.5" customHeight="1">
      <c r="A21" s="426" t="s">
        <v>69</v>
      </c>
      <c r="B21" s="427"/>
      <c r="C21" s="427"/>
      <c r="D21" s="427"/>
      <c r="E21" s="427"/>
      <c r="F21" s="427"/>
      <c r="G21" s="427"/>
      <c r="H21" s="427"/>
      <c r="I21" s="427"/>
      <c r="J21" s="427"/>
      <c r="K21" s="427"/>
      <c r="L21" s="427"/>
      <c r="M21" s="427"/>
      <c r="N21" s="427"/>
      <c r="O21" s="427"/>
      <c r="P21" s="427"/>
      <c r="Q21" s="427"/>
      <c r="R21" s="427"/>
    </row>
    <row r="22" spans="1:18" ht="6" customHeight="1">
      <c r="A22" s="372"/>
      <c r="B22" s="371"/>
      <c r="C22" s="371"/>
      <c r="D22" s="371"/>
      <c r="E22" s="371"/>
      <c r="F22" s="371"/>
      <c r="G22" s="371"/>
      <c r="H22" s="371"/>
      <c r="I22" s="371"/>
      <c r="J22" s="371"/>
      <c r="K22" s="371"/>
      <c r="L22" s="371"/>
      <c r="M22" s="371"/>
      <c r="N22" s="371"/>
      <c r="O22" s="371"/>
    </row>
    <row r="23" spans="1:18" ht="33" customHeight="1">
      <c r="A23" s="426" t="s">
        <v>193</v>
      </c>
      <c r="B23" s="427"/>
      <c r="C23" s="427"/>
      <c r="D23" s="427"/>
      <c r="E23" s="427"/>
      <c r="F23" s="427"/>
      <c r="G23" s="427"/>
      <c r="H23" s="427"/>
      <c r="I23" s="427"/>
      <c r="J23" s="427"/>
      <c r="K23" s="427"/>
      <c r="L23" s="427"/>
      <c r="M23" s="427"/>
      <c r="N23" s="427"/>
      <c r="O23" s="427"/>
      <c r="P23" s="427"/>
      <c r="Q23" s="427"/>
      <c r="R23" s="427"/>
    </row>
    <row r="24" spans="1:18" ht="5.25" customHeight="1">
      <c r="A24" s="373"/>
      <c r="B24" s="374"/>
      <c r="C24" s="374"/>
      <c r="D24" s="374"/>
      <c r="E24" s="374"/>
      <c r="F24" s="374"/>
      <c r="G24" s="374"/>
      <c r="H24" s="374"/>
      <c r="I24" s="374"/>
      <c r="J24" s="374"/>
      <c r="K24" s="374"/>
      <c r="L24" s="374"/>
      <c r="M24" s="374"/>
      <c r="N24" s="374"/>
      <c r="O24" s="374"/>
      <c r="P24" s="374"/>
      <c r="Q24" s="374"/>
      <c r="R24" s="374"/>
    </row>
    <row r="25" spans="1:18">
      <c r="A25" s="426" t="s">
        <v>197</v>
      </c>
      <c r="B25" s="427"/>
      <c r="C25" s="427"/>
      <c r="D25" s="427"/>
      <c r="E25" s="427"/>
      <c r="F25" s="427"/>
      <c r="G25" s="427"/>
      <c r="H25" s="427"/>
      <c r="I25" s="427"/>
      <c r="J25" s="427"/>
      <c r="K25" s="427"/>
      <c r="L25" s="427"/>
      <c r="M25" s="427"/>
      <c r="N25" s="427"/>
      <c r="O25" s="427"/>
      <c r="P25" s="427"/>
      <c r="Q25" s="427"/>
      <c r="R25" s="427"/>
    </row>
    <row r="26" spans="1:18" ht="5.25" customHeight="1">
      <c r="A26" s="380"/>
      <c r="B26" s="381"/>
      <c r="C26" s="381"/>
      <c r="D26" s="381"/>
      <c r="E26" s="381"/>
      <c r="F26" s="381"/>
      <c r="G26" s="381"/>
      <c r="H26" s="381"/>
      <c r="I26" s="381"/>
      <c r="J26" s="381"/>
      <c r="K26" s="381"/>
      <c r="L26" s="381"/>
      <c r="M26" s="381"/>
      <c r="N26" s="381"/>
      <c r="O26" s="381"/>
      <c r="P26" s="381"/>
      <c r="Q26" s="381"/>
      <c r="R26" s="381"/>
    </row>
    <row r="27" spans="1:18" s="375" customFormat="1" ht="51.75" customHeight="1">
      <c r="A27" s="424" t="s">
        <v>205</v>
      </c>
      <c r="B27" s="425"/>
      <c r="C27" s="425"/>
      <c r="D27" s="425"/>
      <c r="E27" s="425"/>
      <c r="F27" s="425"/>
      <c r="G27" s="425"/>
      <c r="H27" s="425"/>
      <c r="I27" s="425"/>
      <c r="J27" s="425"/>
      <c r="K27" s="425"/>
      <c r="L27" s="425"/>
      <c r="M27" s="425"/>
      <c r="N27" s="425"/>
      <c r="O27" s="425"/>
      <c r="P27" s="425"/>
      <c r="Q27" s="425"/>
      <c r="R27" s="425"/>
    </row>
    <row r="28" spans="1:18" s="375" customFormat="1">
      <c r="A28" s="424" t="s">
        <v>281</v>
      </c>
      <c r="B28" s="425"/>
      <c r="C28" s="425"/>
      <c r="D28" s="425"/>
      <c r="E28" s="425"/>
      <c r="F28" s="425"/>
      <c r="G28" s="425"/>
      <c r="H28" s="425"/>
      <c r="I28" s="425"/>
      <c r="J28" s="425"/>
      <c r="K28" s="425"/>
      <c r="L28" s="425"/>
      <c r="M28" s="425"/>
      <c r="N28" s="425"/>
      <c r="O28" s="425"/>
      <c r="P28" s="425"/>
      <c r="Q28" s="425"/>
      <c r="R28" s="425"/>
    </row>
    <row r="29" spans="1:18" ht="59.25" customHeight="1">
      <c r="A29" s="426"/>
      <c r="B29" s="427"/>
      <c r="C29" s="427"/>
      <c r="D29" s="427"/>
      <c r="E29" s="427"/>
      <c r="F29" s="427"/>
      <c r="G29" s="427"/>
      <c r="H29" s="427"/>
      <c r="I29" s="427"/>
      <c r="J29" s="427"/>
      <c r="K29" s="427"/>
      <c r="L29" s="427"/>
      <c r="M29" s="427"/>
      <c r="N29" s="427"/>
      <c r="O29" s="427"/>
      <c r="P29" s="427"/>
      <c r="Q29" s="427"/>
      <c r="R29" s="427"/>
    </row>
    <row r="30" spans="1:18">
      <c r="A30" s="370"/>
      <c r="B30" s="371"/>
      <c r="C30" s="371"/>
      <c r="D30" s="371"/>
      <c r="E30" s="371"/>
      <c r="F30" s="371"/>
      <c r="G30" s="371"/>
      <c r="H30" s="371"/>
      <c r="I30" s="371"/>
      <c r="J30" s="371"/>
      <c r="K30" s="371"/>
      <c r="L30" s="371"/>
      <c r="M30" s="371"/>
      <c r="N30" s="371"/>
      <c r="O30" s="371"/>
      <c r="P30" s="371"/>
      <c r="Q30" s="371"/>
      <c r="R30" s="371"/>
    </row>
  </sheetData>
  <mergeCells count="10">
    <mergeCell ref="A27:R27"/>
    <mergeCell ref="A29:R29"/>
    <mergeCell ref="A23:R23"/>
    <mergeCell ref="A7:R7"/>
    <mergeCell ref="A19:R19"/>
    <mergeCell ref="A21:R21"/>
    <mergeCell ref="A13:R13"/>
    <mergeCell ref="A9:R9"/>
    <mergeCell ref="A25:R25"/>
    <mergeCell ref="A28:R28"/>
  </mergeCells>
  <phoneticPr fontId="14" type="noConversion"/>
  <pageMargins left="0.7" right="0.7" top="0.25" bottom="0.44" header="0.3" footer="0.3"/>
  <pageSetup scale="63" orientation="landscape" r:id="rId1"/>
  <headerFooter>
    <oddFooter>&amp;LActivision Blizzard, Inc.&amp;R&amp;P of &amp;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view="pageBreakPreview" zoomScaleNormal="100" zoomScaleSheetLayoutView="100" workbookViewId="0"/>
  </sheetViews>
  <sheetFormatPr defaultRowHeight="12"/>
  <cols>
    <col min="1" max="1" width="2.140625" style="63" customWidth="1"/>
    <col min="2" max="2" width="27.140625" style="63" customWidth="1"/>
    <col min="3" max="3" width="2.5703125" style="63" customWidth="1"/>
    <col min="4" max="15" width="7.85546875" style="63" customWidth="1"/>
    <col min="16" max="16384" width="9.140625" style="63"/>
  </cols>
  <sheetData>
    <row r="1" spans="1:15" ht="15" customHeight="1">
      <c r="B1" s="437" t="s">
        <v>141</v>
      </c>
      <c r="C1" s="437"/>
      <c r="D1" s="437"/>
      <c r="E1" s="437"/>
      <c r="F1" s="437"/>
      <c r="G1" s="437"/>
      <c r="H1" s="437"/>
      <c r="I1" s="437"/>
      <c r="J1" s="437"/>
      <c r="K1" s="437"/>
      <c r="L1" s="437"/>
      <c r="M1" s="437"/>
      <c r="N1" s="437"/>
      <c r="O1" s="437"/>
    </row>
    <row r="2" spans="1:15">
      <c r="B2" s="437" t="s">
        <v>241</v>
      </c>
      <c r="C2" s="437"/>
      <c r="D2" s="437"/>
      <c r="E2" s="437"/>
      <c r="F2" s="437"/>
      <c r="G2" s="437"/>
      <c r="H2" s="437"/>
      <c r="I2" s="437"/>
      <c r="J2" s="437"/>
      <c r="K2" s="437"/>
      <c r="L2" s="437"/>
      <c r="M2" s="437"/>
      <c r="N2" s="437"/>
      <c r="O2" s="437"/>
    </row>
    <row r="3" spans="1:15" s="74" customFormat="1">
      <c r="B3" s="437" t="s">
        <v>71</v>
      </c>
      <c r="C3" s="437"/>
      <c r="D3" s="437"/>
      <c r="E3" s="437"/>
      <c r="F3" s="437"/>
      <c r="G3" s="437"/>
      <c r="H3" s="437"/>
      <c r="I3" s="437"/>
      <c r="J3" s="437"/>
      <c r="K3" s="437"/>
      <c r="L3" s="437"/>
      <c r="M3" s="437"/>
      <c r="N3" s="437"/>
      <c r="O3" s="437"/>
    </row>
    <row r="4" spans="1:15">
      <c r="B4" s="419"/>
      <c r="C4" s="419"/>
      <c r="D4" s="419"/>
      <c r="E4" s="419"/>
      <c r="F4" s="419"/>
      <c r="G4" s="419"/>
      <c r="H4" s="419"/>
      <c r="I4" s="419"/>
      <c r="J4" s="419"/>
      <c r="K4" s="419"/>
      <c r="L4" s="419"/>
      <c r="M4" s="419"/>
      <c r="N4" s="419"/>
      <c r="O4" s="419"/>
    </row>
    <row r="5" spans="1:15">
      <c r="B5" s="64"/>
      <c r="C5" s="64"/>
      <c r="D5" s="64"/>
      <c r="E5" s="64"/>
      <c r="F5" s="64"/>
      <c r="G5" s="64"/>
      <c r="H5" s="64"/>
      <c r="I5" s="64"/>
      <c r="J5" s="64"/>
      <c r="K5" s="64"/>
      <c r="L5" s="64"/>
      <c r="M5" s="64"/>
      <c r="N5" s="64"/>
      <c r="O5" s="64"/>
    </row>
    <row r="6" spans="1:15" ht="15" customHeight="1">
      <c r="A6" s="74"/>
      <c r="B6" s="360"/>
      <c r="C6" s="420"/>
      <c r="D6" s="420"/>
      <c r="E6" s="420"/>
      <c r="F6" s="420"/>
      <c r="G6" s="420"/>
      <c r="H6" s="420"/>
      <c r="I6" s="420"/>
      <c r="J6" s="420"/>
      <c r="K6" s="420"/>
      <c r="L6" s="420"/>
      <c r="M6" s="420"/>
      <c r="N6" s="420"/>
      <c r="O6" s="420"/>
    </row>
    <row r="7" spans="1:15" ht="15" customHeight="1">
      <c r="A7" s="74"/>
      <c r="B7" s="360"/>
      <c r="C7" s="420"/>
      <c r="D7" s="19" t="s">
        <v>6</v>
      </c>
      <c r="E7" s="19" t="s">
        <v>3</v>
      </c>
      <c r="F7" s="19" t="s">
        <v>4</v>
      </c>
      <c r="G7" s="19" t="s">
        <v>5</v>
      </c>
      <c r="H7" s="19" t="s">
        <v>6</v>
      </c>
      <c r="I7" s="19" t="s">
        <v>3</v>
      </c>
      <c r="J7" s="19" t="s">
        <v>4</v>
      </c>
      <c r="K7" s="19" t="s">
        <v>5</v>
      </c>
      <c r="L7" s="19" t="s">
        <v>6</v>
      </c>
      <c r="M7" s="19" t="s">
        <v>3</v>
      </c>
      <c r="N7" s="19" t="s">
        <v>4</v>
      </c>
      <c r="O7" s="19" t="s">
        <v>5</v>
      </c>
    </row>
    <row r="8" spans="1:15" ht="12.75" thickBot="1">
      <c r="B8" s="248"/>
      <c r="C8" s="418"/>
      <c r="D8" s="41" t="s">
        <v>40</v>
      </c>
      <c r="E8" s="41" t="s">
        <v>41</v>
      </c>
      <c r="F8" s="41" t="s">
        <v>41</v>
      </c>
      <c r="G8" s="41" t="s">
        <v>41</v>
      </c>
      <c r="H8" s="41" t="s">
        <v>41</v>
      </c>
      <c r="I8" s="41" t="s">
        <v>220</v>
      </c>
      <c r="J8" s="41" t="s">
        <v>220</v>
      </c>
      <c r="K8" s="41" t="s">
        <v>220</v>
      </c>
      <c r="L8" s="41" t="s">
        <v>220</v>
      </c>
      <c r="M8" s="41" t="s">
        <v>248</v>
      </c>
      <c r="N8" s="41" t="s">
        <v>248</v>
      </c>
      <c r="O8" s="41" t="s">
        <v>248</v>
      </c>
    </row>
    <row r="9" spans="1:15">
      <c r="B9" s="249" t="s">
        <v>187</v>
      </c>
      <c r="C9" s="247"/>
      <c r="D9" s="259"/>
      <c r="E9" s="259"/>
      <c r="F9" s="259"/>
      <c r="G9" s="259"/>
      <c r="H9" s="259"/>
      <c r="I9" s="259"/>
      <c r="J9" s="259"/>
      <c r="K9" s="259"/>
      <c r="L9" s="259"/>
      <c r="M9" s="259"/>
      <c r="N9" s="259"/>
      <c r="O9" s="259"/>
    </row>
    <row r="10" spans="1:15">
      <c r="B10" s="251" t="s">
        <v>188</v>
      </c>
      <c r="C10" s="247"/>
      <c r="D10" s="70">
        <v>993</v>
      </c>
      <c r="E10" s="70">
        <v>134</v>
      </c>
      <c r="F10" s="70">
        <v>-78</v>
      </c>
      <c r="G10" s="70">
        <v>46</v>
      </c>
      <c r="H10" s="70">
        <v>850</v>
      </c>
      <c r="I10" s="70">
        <v>154</v>
      </c>
      <c r="J10" s="70">
        <v>93</v>
      </c>
      <c r="K10" s="70">
        <v>122</v>
      </c>
      <c r="L10" s="70">
        <v>976</v>
      </c>
      <c r="M10" s="70">
        <v>325</v>
      </c>
      <c r="N10" s="70">
        <v>109</v>
      </c>
      <c r="O10" s="70">
        <v>-50</v>
      </c>
    </row>
    <row r="11" spans="1:15">
      <c r="B11" s="251" t="s">
        <v>236</v>
      </c>
      <c r="C11" s="247"/>
      <c r="D11" s="260">
        <v>21</v>
      </c>
      <c r="E11" s="260">
        <v>4</v>
      </c>
      <c r="F11" s="260">
        <v>14</v>
      </c>
      <c r="G11" s="260">
        <v>29</v>
      </c>
      <c r="H11" s="260">
        <v>25</v>
      </c>
      <c r="I11" s="260">
        <v>8</v>
      </c>
      <c r="J11" s="260">
        <v>17</v>
      </c>
      <c r="K11" s="260">
        <v>21</v>
      </c>
      <c r="L11" s="260">
        <v>27</v>
      </c>
      <c r="M11" s="260">
        <v>17</v>
      </c>
      <c r="N11" s="260">
        <v>19</v>
      </c>
      <c r="O11" s="260">
        <v>22</v>
      </c>
    </row>
    <row r="12" spans="1:15">
      <c r="B12" s="251" t="s">
        <v>204</v>
      </c>
      <c r="C12" s="247"/>
      <c r="D12" s="70">
        <f t="shared" ref="D12:O12" si="0">D10-D11</f>
        <v>972</v>
      </c>
      <c r="E12" s="70">
        <f t="shared" si="0"/>
        <v>130</v>
      </c>
      <c r="F12" s="70">
        <f t="shared" si="0"/>
        <v>-92</v>
      </c>
      <c r="G12" s="70">
        <f t="shared" si="0"/>
        <v>17</v>
      </c>
      <c r="H12" s="70">
        <f t="shared" si="0"/>
        <v>825</v>
      </c>
      <c r="I12" s="70">
        <f t="shared" si="0"/>
        <v>146</v>
      </c>
      <c r="J12" s="70">
        <f t="shared" si="0"/>
        <v>76</v>
      </c>
      <c r="K12" s="70">
        <f t="shared" si="0"/>
        <v>101</v>
      </c>
      <c r="L12" s="70">
        <f t="shared" si="0"/>
        <v>949</v>
      </c>
      <c r="M12" s="70">
        <f t="shared" si="0"/>
        <v>308</v>
      </c>
      <c r="N12" s="70">
        <f t="shared" si="0"/>
        <v>90</v>
      </c>
      <c r="O12" s="70">
        <f t="shared" si="0"/>
        <v>-72</v>
      </c>
    </row>
    <row r="14" spans="1:15">
      <c r="B14" s="251" t="s">
        <v>272</v>
      </c>
      <c r="D14" s="70">
        <f>SUM(D10:D10)</f>
        <v>993</v>
      </c>
      <c r="E14" s="70">
        <f>SUM(D10:E10)</f>
        <v>1127</v>
      </c>
      <c r="F14" s="70">
        <f>SUM(D10:F10)</f>
        <v>1049</v>
      </c>
      <c r="G14" s="70">
        <f t="shared" ref="G14:O14" si="1">SUM(D10:G10)</f>
        <v>1095</v>
      </c>
      <c r="H14" s="70">
        <f t="shared" si="1"/>
        <v>952</v>
      </c>
      <c r="I14" s="70">
        <f t="shared" si="1"/>
        <v>972</v>
      </c>
      <c r="J14" s="70">
        <f t="shared" si="1"/>
        <v>1143</v>
      </c>
      <c r="K14" s="70">
        <f t="shared" si="1"/>
        <v>1219</v>
      </c>
      <c r="L14" s="70">
        <f t="shared" si="1"/>
        <v>1345</v>
      </c>
      <c r="M14" s="70">
        <f t="shared" si="1"/>
        <v>1516</v>
      </c>
      <c r="N14" s="70">
        <f t="shared" si="1"/>
        <v>1532</v>
      </c>
      <c r="O14" s="70">
        <f t="shared" si="1"/>
        <v>1360</v>
      </c>
    </row>
    <row r="15" spans="1:15">
      <c r="B15" s="251" t="s">
        <v>273</v>
      </c>
      <c r="D15" s="260">
        <f>SUM(D11:D11)</f>
        <v>21</v>
      </c>
      <c r="E15" s="260">
        <f>SUM(D11:E11)</f>
        <v>25</v>
      </c>
      <c r="F15" s="260">
        <f>SUM(D11:F11)</f>
        <v>39</v>
      </c>
      <c r="G15" s="260">
        <f t="shared" ref="G15:O15" si="2">SUM(D11:G11)</f>
        <v>68</v>
      </c>
      <c r="H15" s="260">
        <f t="shared" si="2"/>
        <v>72</v>
      </c>
      <c r="I15" s="260">
        <f t="shared" si="2"/>
        <v>76</v>
      </c>
      <c r="J15" s="260">
        <f t="shared" si="2"/>
        <v>79</v>
      </c>
      <c r="K15" s="260">
        <f t="shared" si="2"/>
        <v>71</v>
      </c>
      <c r="L15" s="260">
        <f t="shared" si="2"/>
        <v>73</v>
      </c>
      <c r="M15" s="260">
        <f t="shared" si="2"/>
        <v>82</v>
      </c>
      <c r="N15" s="260">
        <f t="shared" si="2"/>
        <v>84</v>
      </c>
      <c r="O15" s="260">
        <f t="shared" si="2"/>
        <v>85</v>
      </c>
    </row>
    <row r="16" spans="1:15">
      <c r="B16" s="251" t="s">
        <v>274</v>
      </c>
      <c r="D16" s="70">
        <f t="shared" ref="D16" si="3">D14-D15</f>
        <v>972</v>
      </c>
      <c r="E16" s="70">
        <f t="shared" ref="E16" si="4">E14-E15</f>
        <v>1102</v>
      </c>
      <c r="F16" s="70">
        <f t="shared" ref="F16" si="5">F14-F15</f>
        <v>1010</v>
      </c>
      <c r="G16" s="70">
        <f t="shared" ref="G16" si="6">G14-G15</f>
        <v>1027</v>
      </c>
      <c r="H16" s="70">
        <f t="shared" ref="H16" si="7">H14-H15</f>
        <v>880</v>
      </c>
      <c r="I16" s="70">
        <f t="shared" ref="I16" si="8">I14-I15</f>
        <v>896</v>
      </c>
      <c r="J16" s="70">
        <f t="shared" ref="J16" si="9">J14-J15</f>
        <v>1064</v>
      </c>
      <c r="K16" s="70">
        <f t="shared" ref="K16" si="10">K14-K15</f>
        <v>1148</v>
      </c>
      <c r="L16" s="70">
        <f t="shared" ref="L16" si="11">L14-L15</f>
        <v>1272</v>
      </c>
      <c r="M16" s="70">
        <f t="shared" ref="M16" si="12">M14-M15</f>
        <v>1434</v>
      </c>
      <c r="N16" s="70">
        <f t="shared" ref="N16" si="13">N14-N15</f>
        <v>1448</v>
      </c>
      <c r="O16" s="70">
        <f t="shared" ref="O16" si="14">O14-O15</f>
        <v>1275</v>
      </c>
    </row>
    <row r="19" spans="2:2">
      <c r="B19" s="63" t="s">
        <v>275</v>
      </c>
    </row>
    <row r="21" spans="2:2">
      <c r="B21" s="63" t="s">
        <v>250</v>
      </c>
    </row>
  </sheetData>
  <mergeCells count="3">
    <mergeCell ref="B1:O1"/>
    <mergeCell ref="B2:O2"/>
    <mergeCell ref="B3:O3"/>
  </mergeCells>
  <pageMargins left="0.7" right="0.7" top="0.25" bottom="0.44" header="0.3" footer="0.3"/>
  <pageSetup scale="97" orientation="landscape" r:id="rId1"/>
  <headerFooter>
    <oddFooter>&amp;LActivision Blizzard, Inc.&amp;R&amp;P of &amp; 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view="pageBreakPreview" zoomScaleNormal="100" zoomScaleSheetLayoutView="100" workbookViewId="0"/>
  </sheetViews>
  <sheetFormatPr defaultRowHeight="12"/>
  <cols>
    <col min="1" max="1" width="2.140625" style="63" customWidth="1"/>
    <col min="2" max="2" width="26" style="63" customWidth="1"/>
    <col min="3" max="3" width="2.5703125" style="63" customWidth="1"/>
    <col min="4" max="4" width="17.85546875" style="63" customWidth="1"/>
    <col min="5" max="5" width="2.5703125" style="63" customWidth="1"/>
    <col min="6" max="6" width="17.85546875" style="63" customWidth="1"/>
    <col min="7" max="7" width="2.140625" style="63" customWidth="1"/>
    <col min="8" max="8" width="17.85546875" style="63" customWidth="1"/>
    <col min="9" max="16384" width="9.140625" style="63"/>
  </cols>
  <sheetData>
    <row r="1" spans="1:8" ht="15" customHeight="1">
      <c r="B1" s="437" t="s">
        <v>141</v>
      </c>
      <c r="C1" s="437"/>
      <c r="D1" s="437"/>
      <c r="E1" s="437"/>
      <c r="F1" s="437"/>
      <c r="G1" s="437"/>
      <c r="H1" s="437"/>
    </row>
    <row r="2" spans="1:8">
      <c r="B2" s="437" t="s">
        <v>241</v>
      </c>
      <c r="C2" s="437"/>
      <c r="D2" s="437"/>
      <c r="E2" s="437"/>
      <c r="F2" s="437"/>
      <c r="G2" s="437"/>
      <c r="H2" s="437"/>
    </row>
    <row r="3" spans="1:8" s="74" customFormat="1">
      <c r="B3" s="437" t="s">
        <v>71</v>
      </c>
      <c r="C3" s="437"/>
      <c r="D3" s="437"/>
      <c r="E3" s="437"/>
      <c r="F3" s="437"/>
      <c r="G3" s="437"/>
      <c r="H3" s="437"/>
    </row>
    <row r="4" spans="1:8">
      <c r="B4" s="359"/>
      <c r="C4" s="359"/>
      <c r="D4" s="389"/>
      <c r="E4" s="389"/>
      <c r="F4" s="359"/>
      <c r="G4" s="359"/>
      <c r="H4" s="359"/>
    </row>
    <row r="5" spans="1:8">
      <c r="B5" s="64"/>
      <c r="C5" s="64"/>
      <c r="D5" s="64"/>
      <c r="E5" s="64"/>
      <c r="F5" s="64"/>
      <c r="G5" s="64"/>
    </row>
    <row r="6" spans="1:8" ht="15" customHeight="1">
      <c r="A6" s="74"/>
      <c r="B6" s="360"/>
      <c r="C6" s="361"/>
      <c r="D6" s="438" t="s">
        <v>235</v>
      </c>
      <c r="E6" s="438"/>
      <c r="F6" s="438"/>
      <c r="G6" s="438"/>
      <c r="H6" s="438"/>
    </row>
    <row r="7" spans="1:8" ht="12.75" thickBot="1">
      <c r="B7" s="248"/>
      <c r="C7" s="358"/>
      <c r="D7" s="362">
        <v>2012</v>
      </c>
      <c r="E7" s="388"/>
      <c r="F7" s="362">
        <v>2011</v>
      </c>
      <c r="G7" s="358"/>
      <c r="H7" s="362">
        <v>2010</v>
      </c>
    </row>
    <row r="8" spans="1:8">
      <c r="B8" s="249" t="s">
        <v>187</v>
      </c>
      <c r="C8" s="247"/>
      <c r="D8" s="259"/>
      <c r="E8" s="247"/>
      <c r="F8" s="259"/>
      <c r="G8" s="247"/>
      <c r="H8" s="259"/>
    </row>
    <row r="9" spans="1:8">
      <c r="B9" s="251" t="s">
        <v>188</v>
      </c>
      <c r="C9" s="247"/>
      <c r="D9" s="260">
        <f>'Cashflow YE'!F27</f>
        <v>1345</v>
      </c>
      <c r="E9" s="247"/>
      <c r="F9" s="260">
        <v>952</v>
      </c>
      <c r="G9" s="247"/>
      <c r="H9" s="260">
        <v>1376</v>
      </c>
    </row>
    <row r="10" spans="1:8">
      <c r="B10" s="251" t="s">
        <v>236</v>
      </c>
      <c r="C10" s="247"/>
      <c r="D10" s="260">
        <f>-'Cashflow YE'!F35</f>
        <v>73</v>
      </c>
      <c r="E10" s="247"/>
      <c r="F10" s="260">
        <v>72</v>
      </c>
      <c r="G10" s="247"/>
      <c r="H10" s="260">
        <v>97</v>
      </c>
    </row>
    <row r="11" spans="1:8">
      <c r="B11" s="251" t="s">
        <v>204</v>
      </c>
      <c r="C11" s="247"/>
      <c r="D11" s="70">
        <f>D9-D10</f>
        <v>1272</v>
      </c>
      <c r="E11" s="247"/>
      <c r="F11" s="70">
        <f>F9-F10</f>
        <v>880</v>
      </c>
      <c r="G11" s="247"/>
      <c r="H11" s="70">
        <f>H9-H10</f>
        <v>1279</v>
      </c>
    </row>
    <row r="13" spans="1:8">
      <c r="B13" s="63" t="s">
        <v>290</v>
      </c>
    </row>
    <row r="14" spans="1:8">
      <c r="B14" s="63" t="s">
        <v>291</v>
      </c>
    </row>
    <row r="16" spans="1:8">
      <c r="B16" s="63" t="s">
        <v>292</v>
      </c>
    </row>
    <row r="17" spans="2:2">
      <c r="B17" s="63" t="s">
        <v>293</v>
      </c>
    </row>
  </sheetData>
  <mergeCells count="4">
    <mergeCell ref="B1:H1"/>
    <mergeCell ref="B2:H2"/>
    <mergeCell ref="B3:H3"/>
    <mergeCell ref="D6:H6"/>
  </mergeCells>
  <pageMargins left="0.7" right="0.7" top="0.25" bottom="0.44" header="0.3" footer="0.3"/>
  <pageSetup orientation="landscape" r:id="rId1"/>
  <headerFooter>
    <oddFooter>&amp;LActivision Blizzard, Inc.&amp;R&amp;P of &amp;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view="pageBreakPreview" zoomScale="80" zoomScaleNormal="100" zoomScaleSheetLayoutView="80" workbookViewId="0"/>
  </sheetViews>
  <sheetFormatPr defaultRowHeight="12"/>
  <cols>
    <col min="1" max="1" width="1.7109375" style="63" customWidth="1"/>
    <col min="2" max="2" width="2.7109375" style="63" customWidth="1"/>
    <col min="3" max="3" width="2.85546875" style="63" customWidth="1"/>
    <col min="4" max="4" width="34.85546875" style="63" customWidth="1"/>
    <col min="5" max="5" width="52.140625" style="63" customWidth="1"/>
    <col min="6" max="8" width="16.7109375" style="63" customWidth="1"/>
    <col min="9" max="16384" width="9.140625" style="63"/>
  </cols>
  <sheetData>
    <row r="1" spans="2:8" ht="15" customHeight="1">
      <c r="B1" s="437" t="s">
        <v>141</v>
      </c>
      <c r="C1" s="437"/>
      <c r="D1" s="437"/>
      <c r="E1" s="437"/>
      <c r="F1" s="437"/>
      <c r="G1" s="437"/>
      <c r="H1" s="437"/>
    </row>
    <row r="2" spans="2:8" ht="15" customHeight="1">
      <c r="B2" s="437" t="s">
        <v>237</v>
      </c>
      <c r="C2" s="437"/>
      <c r="D2" s="437"/>
      <c r="E2" s="437"/>
      <c r="F2" s="437"/>
      <c r="G2" s="437"/>
      <c r="H2" s="437"/>
    </row>
    <row r="3" spans="2:8" ht="15" customHeight="1">
      <c r="B3" s="437" t="s">
        <v>71</v>
      </c>
      <c r="C3" s="437"/>
      <c r="D3" s="437"/>
      <c r="E3" s="437"/>
      <c r="F3" s="437"/>
      <c r="G3" s="437"/>
      <c r="H3" s="437"/>
    </row>
    <row r="4" spans="2:8">
      <c r="B4" s="64"/>
      <c r="C4" s="64"/>
      <c r="D4" s="64"/>
      <c r="E4" s="64"/>
      <c r="F4" s="64"/>
      <c r="G4" s="64"/>
      <c r="H4" s="64"/>
    </row>
    <row r="5" spans="2:8">
      <c r="B5" s="64"/>
      <c r="C5" s="64"/>
      <c r="E5" s="64"/>
      <c r="F5" s="64"/>
      <c r="G5" s="64"/>
      <c r="H5" s="64"/>
    </row>
    <row r="6" spans="2:8" ht="15.75" customHeight="1" thickBot="1">
      <c r="B6" s="65"/>
      <c r="C6" s="65"/>
      <c r="D6" s="65"/>
      <c r="E6" s="66"/>
      <c r="F6" s="439" t="s">
        <v>142</v>
      </c>
      <c r="G6" s="439"/>
      <c r="H6" s="439"/>
    </row>
    <row r="7" spans="2:8" ht="12.75" thickBot="1">
      <c r="B7" s="65"/>
      <c r="C7" s="65"/>
      <c r="D7" s="65"/>
      <c r="E7" s="66"/>
      <c r="F7" s="67">
        <v>2012</v>
      </c>
      <c r="G7" s="67">
        <v>2011</v>
      </c>
      <c r="H7" s="67">
        <v>2010</v>
      </c>
    </row>
    <row r="8" spans="2:8">
      <c r="B8" s="68" t="s">
        <v>143</v>
      </c>
      <c r="C8" s="68"/>
      <c r="D8" s="68"/>
      <c r="E8" s="64"/>
      <c r="F8" s="64"/>
      <c r="G8" s="64"/>
      <c r="H8" s="64"/>
    </row>
    <row r="9" spans="2:8">
      <c r="B9" s="64"/>
      <c r="C9" s="68" t="s">
        <v>212</v>
      </c>
      <c r="D9" s="68"/>
      <c r="E9" s="64"/>
      <c r="F9" s="69">
        <v>1149</v>
      </c>
      <c r="G9" s="69">
        <v>1085</v>
      </c>
      <c r="H9" s="69">
        <v>418</v>
      </c>
    </row>
    <row r="10" spans="2:8">
      <c r="B10" s="64"/>
      <c r="C10" s="68" t="s">
        <v>144</v>
      </c>
      <c r="D10" s="68"/>
      <c r="E10" s="64"/>
      <c r="F10" s="64"/>
      <c r="G10" s="64"/>
      <c r="H10" s="64"/>
    </row>
    <row r="11" spans="2:8">
      <c r="B11" s="64"/>
      <c r="C11" s="64"/>
      <c r="D11" s="64" t="s">
        <v>68</v>
      </c>
      <c r="E11" s="64"/>
      <c r="F11" s="71">
        <v>-10</v>
      </c>
      <c r="G11" s="71">
        <v>75</v>
      </c>
      <c r="H11" s="71">
        <v>-278</v>
      </c>
    </row>
    <row r="12" spans="2:8">
      <c r="B12" s="64"/>
      <c r="C12" s="64"/>
      <c r="D12" s="64" t="s">
        <v>206</v>
      </c>
      <c r="E12" s="64"/>
      <c r="F12" s="71">
        <v>0</v>
      </c>
      <c r="G12" s="71">
        <v>12</v>
      </c>
      <c r="H12" s="71">
        <v>326</v>
      </c>
    </row>
    <row r="13" spans="2:8">
      <c r="B13" s="64"/>
      <c r="C13" s="64"/>
      <c r="D13" s="64" t="s">
        <v>145</v>
      </c>
      <c r="E13" s="64"/>
      <c r="F13" s="71">
        <v>120</v>
      </c>
      <c r="G13" s="71">
        <v>148</v>
      </c>
      <c r="H13" s="71">
        <v>198</v>
      </c>
    </row>
    <row r="14" spans="2:8">
      <c r="B14" s="64"/>
      <c r="C14" s="64"/>
      <c r="D14" s="64" t="s">
        <v>146</v>
      </c>
      <c r="E14" s="64"/>
      <c r="F14" s="71">
        <v>1</v>
      </c>
      <c r="G14" s="71">
        <v>4</v>
      </c>
      <c r="H14" s="71">
        <v>1</v>
      </c>
    </row>
    <row r="15" spans="2:8">
      <c r="B15" s="64"/>
      <c r="C15" s="64"/>
      <c r="D15" s="64" t="s">
        <v>147</v>
      </c>
      <c r="E15" s="64"/>
      <c r="F15" s="71">
        <v>208</v>
      </c>
      <c r="G15" s="71">
        <v>287</v>
      </c>
      <c r="H15" s="71">
        <v>319</v>
      </c>
    </row>
    <row r="16" spans="2:8">
      <c r="B16" s="64"/>
      <c r="C16" s="64"/>
      <c r="D16" s="64" t="s">
        <v>148</v>
      </c>
      <c r="E16" s="64"/>
      <c r="F16" s="71">
        <v>126</v>
      </c>
      <c r="G16" s="71">
        <v>103</v>
      </c>
      <c r="H16" s="71">
        <v>131</v>
      </c>
    </row>
    <row r="17" spans="2:8">
      <c r="B17" s="64"/>
      <c r="C17" s="64"/>
      <c r="D17" s="64" t="s">
        <v>149</v>
      </c>
      <c r="E17" s="64"/>
      <c r="F17" s="71">
        <v>-5</v>
      </c>
      <c r="G17" s="71">
        <v>-24</v>
      </c>
      <c r="H17" s="71">
        <v>-22</v>
      </c>
    </row>
    <row r="18" spans="2:8">
      <c r="B18" s="64"/>
      <c r="C18" s="68" t="s">
        <v>150</v>
      </c>
      <c r="D18" s="68"/>
      <c r="E18" s="64"/>
      <c r="F18" s="71"/>
      <c r="G18" s="71"/>
      <c r="H18" s="71"/>
    </row>
    <row r="19" spans="2:8">
      <c r="B19" s="64"/>
      <c r="C19" s="64"/>
      <c r="D19" s="64" t="s">
        <v>223</v>
      </c>
      <c r="E19" s="64"/>
      <c r="F19" s="71">
        <v>-46</v>
      </c>
      <c r="G19" s="71">
        <v>13</v>
      </c>
      <c r="H19" s="71">
        <v>43</v>
      </c>
    </row>
    <row r="20" spans="2:8">
      <c r="B20" s="64"/>
      <c r="C20" s="64"/>
      <c r="D20" s="64" t="s">
        <v>222</v>
      </c>
      <c r="E20" s="64"/>
      <c r="F20" s="71">
        <v>-62</v>
      </c>
      <c r="G20" s="71">
        <v>-34</v>
      </c>
      <c r="H20" s="71">
        <v>124</v>
      </c>
    </row>
    <row r="21" spans="2:8">
      <c r="B21" s="64"/>
      <c r="C21" s="64"/>
      <c r="D21" s="64" t="s">
        <v>151</v>
      </c>
      <c r="E21" s="64"/>
      <c r="F21" s="71">
        <v>-301</v>
      </c>
      <c r="G21" s="71">
        <v>-254</v>
      </c>
      <c r="H21" s="71">
        <v>-313</v>
      </c>
    </row>
    <row r="22" spans="2:8">
      <c r="B22" s="64"/>
      <c r="C22" s="64"/>
      <c r="D22" s="64" t="s">
        <v>9</v>
      </c>
      <c r="E22" s="64"/>
      <c r="F22" s="71">
        <v>88</v>
      </c>
      <c r="G22" s="71">
        <v>-67</v>
      </c>
      <c r="H22" s="71">
        <v>17</v>
      </c>
    </row>
    <row r="23" spans="2:8">
      <c r="B23" s="64"/>
      <c r="C23" s="64"/>
      <c r="D23" s="64" t="s">
        <v>64</v>
      </c>
      <c r="E23" s="64"/>
      <c r="F23" s="71">
        <v>153</v>
      </c>
      <c r="G23" s="71">
        <v>-248</v>
      </c>
      <c r="H23" s="71">
        <v>293</v>
      </c>
    </row>
    <row r="24" spans="2:8">
      <c r="B24" s="64"/>
      <c r="C24" s="64"/>
      <c r="D24" s="64" t="s">
        <v>63</v>
      </c>
      <c r="E24" s="64"/>
      <c r="F24" s="71">
        <v>-54</v>
      </c>
      <c r="G24" s="71">
        <v>31</v>
      </c>
      <c r="H24" s="71">
        <v>70</v>
      </c>
    </row>
    <row r="25" spans="2:8">
      <c r="B25" s="64"/>
      <c r="C25" s="64"/>
      <c r="D25" s="64" t="s">
        <v>65</v>
      </c>
      <c r="E25" s="64"/>
      <c r="F25" s="71">
        <v>-22</v>
      </c>
      <c r="G25" s="71">
        <v>-179</v>
      </c>
      <c r="H25" s="71">
        <v>49</v>
      </c>
    </row>
    <row r="26" spans="2:8">
      <c r="B26" s="68"/>
      <c r="C26" s="68"/>
      <c r="D26" s="68"/>
      <c r="E26" s="64"/>
      <c r="F26" s="243"/>
      <c r="G26" s="243"/>
      <c r="H26" s="243"/>
    </row>
    <row r="27" spans="2:8">
      <c r="B27" s="64"/>
      <c r="C27" s="68" t="s">
        <v>152</v>
      </c>
      <c r="D27" s="68"/>
      <c r="E27" s="64"/>
      <c r="F27" s="244">
        <f>SUM(F9:F25)</f>
        <v>1345</v>
      </c>
      <c r="G27" s="244">
        <f>SUM(G9:G25)</f>
        <v>952</v>
      </c>
      <c r="H27" s="244">
        <f>SUM(H9:H25)</f>
        <v>1376</v>
      </c>
    </row>
    <row r="28" spans="2:8" s="74" customFormat="1">
      <c r="B28" s="73"/>
      <c r="C28" s="73"/>
      <c r="D28" s="73"/>
      <c r="E28" s="242"/>
      <c r="F28" s="243"/>
      <c r="G28" s="243"/>
      <c r="H28" s="243"/>
    </row>
    <row r="29" spans="2:8">
      <c r="B29" s="68" t="s">
        <v>153</v>
      </c>
      <c r="C29" s="68"/>
      <c r="D29" s="68"/>
      <c r="E29" s="64"/>
      <c r="F29" s="71"/>
      <c r="G29" s="71"/>
      <c r="H29" s="71"/>
    </row>
    <row r="30" spans="2:8">
      <c r="B30" s="64"/>
      <c r="C30" s="68" t="s">
        <v>211</v>
      </c>
      <c r="D30" s="68"/>
      <c r="E30" s="64"/>
      <c r="F30" s="71">
        <v>444</v>
      </c>
      <c r="G30" s="71">
        <v>740</v>
      </c>
      <c r="H30" s="71">
        <v>519</v>
      </c>
    </row>
    <row r="31" spans="2:8">
      <c r="B31" s="64"/>
      <c r="C31" s="68" t="s">
        <v>217</v>
      </c>
      <c r="D31" s="68"/>
      <c r="E31" s="64"/>
      <c r="F31" s="72">
        <v>0</v>
      </c>
      <c r="G31" s="72" t="s">
        <v>154</v>
      </c>
      <c r="H31" s="71">
        <v>61</v>
      </c>
    </row>
    <row r="32" spans="2:8">
      <c r="B32" s="64"/>
      <c r="C32" s="68" t="s">
        <v>218</v>
      </c>
      <c r="D32" s="68"/>
      <c r="E32" s="64"/>
      <c r="F32" s="72">
        <v>10</v>
      </c>
      <c r="G32" s="72">
        <v>10</v>
      </c>
      <c r="H32" s="72" t="s">
        <v>154</v>
      </c>
    </row>
    <row r="33" spans="2:8">
      <c r="B33" s="64"/>
      <c r="C33" s="68" t="s">
        <v>155</v>
      </c>
      <c r="D33" s="68"/>
      <c r="E33" s="64"/>
      <c r="F33" s="72">
        <v>0</v>
      </c>
      <c r="G33" s="72">
        <v>-3</v>
      </c>
      <c r="H33" s="72">
        <v>-4</v>
      </c>
    </row>
    <row r="34" spans="2:8">
      <c r="B34" s="64"/>
      <c r="C34" s="68" t="s">
        <v>156</v>
      </c>
      <c r="D34" s="68"/>
      <c r="E34" s="64"/>
      <c r="F34" s="72">
        <v>-503</v>
      </c>
      <c r="G34" s="72">
        <v>-417</v>
      </c>
      <c r="H34" s="72">
        <v>-800</v>
      </c>
    </row>
    <row r="35" spans="2:8">
      <c r="B35" s="64"/>
      <c r="C35" s="68" t="s">
        <v>11</v>
      </c>
      <c r="D35" s="68"/>
      <c r="E35" s="64"/>
      <c r="F35" s="72">
        <v>-73</v>
      </c>
      <c r="G35" s="72">
        <v>-72</v>
      </c>
      <c r="H35" s="72">
        <v>-97</v>
      </c>
    </row>
    <row r="36" spans="2:8">
      <c r="B36" s="64"/>
      <c r="C36" s="68" t="s">
        <v>245</v>
      </c>
      <c r="D36" s="68"/>
      <c r="E36" s="64"/>
      <c r="F36" s="71">
        <v>-2</v>
      </c>
      <c r="G36" s="71">
        <v>8</v>
      </c>
      <c r="H36" s="71">
        <v>9</v>
      </c>
    </row>
    <row r="37" spans="2:8">
      <c r="B37" s="68"/>
      <c r="C37" s="68"/>
      <c r="D37" s="68"/>
      <c r="E37" s="64"/>
      <c r="F37" s="243"/>
      <c r="G37" s="243"/>
      <c r="H37" s="243"/>
    </row>
    <row r="38" spans="2:8">
      <c r="B38" s="64"/>
      <c r="C38" s="68" t="s">
        <v>244</v>
      </c>
      <c r="D38" s="68"/>
      <c r="E38" s="64"/>
      <c r="F38" s="244">
        <f>SUM(F30:F36)</f>
        <v>-124</v>
      </c>
      <c r="G38" s="244">
        <f>SUM(G30:G36)</f>
        <v>266</v>
      </c>
      <c r="H38" s="244">
        <f>SUM(H30:H36)</f>
        <v>-312</v>
      </c>
    </row>
    <row r="39" spans="2:8">
      <c r="B39" s="68"/>
      <c r="C39" s="68"/>
      <c r="D39" s="68"/>
      <c r="E39" s="64"/>
      <c r="F39" s="243"/>
      <c r="G39" s="243"/>
      <c r="H39" s="243"/>
    </row>
    <row r="40" spans="2:8">
      <c r="B40" s="68" t="s">
        <v>157</v>
      </c>
      <c r="C40" s="68"/>
      <c r="D40" s="68"/>
      <c r="E40" s="64"/>
      <c r="F40" s="245"/>
      <c r="G40" s="245"/>
      <c r="H40" s="245"/>
    </row>
    <row r="41" spans="2:8">
      <c r="B41" s="64"/>
      <c r="C41" s="68" t="s">
        <v>158</v>
      </c>
      <c r="D41" s="68"/>
      <c r="E41" s="64"/>
      <c r="F41" s="71">
        <v>33</v>
      </c>
      <c r="G41" s="71">
        <v>69</v>
      </c>
      <c r="H41" s="71">
        <v>81</v>
      </c>
    </row>
    <row r="42" spans="2:8">
      <c r="B42" s="64"/>
      <c r="C42" s="68" t="s">
        <v>232</v>
      </c>
      <c r="D42" s="68"/>
      <c r="E42" s="64"/>
      <c r="F42" s="71">
        <v>-16</v>
      </c>
      <c r="G42" s="71">
        <v>-15</v>
      </c>
      <c r="H42" s="71">
        <v>-8</v>
      </c>
    </row>
    <row r="43" spans="2:8">
      <c r="B43" s="64"/>
      <c r="C43" s="68" t="s">
        <v>159</v>
      </c>
      <c r="D43" s="68"/>
      <c r="E43" s="64"/>
      <c r="F43" s="72">
        <v>-315</v>
      </c>
      <c r="G43" s="72">
        <v>-692</v>
      </c>
      <c r="H43" s="72">
        <v>-959</v>
      </c>
    </row>
    <row r="44" spans="2:8">
      <c r="B44" s="64"/>
      <c r="C44" s="68" t="s">
        <v>160</v>
      </c>
      <c r="D44" s="68"/>
      <c r="E44" s="64"/>
      <c r="F44" s="72">
        <v>-204</v>
      </c>
      <c r="G44" s="72">
        <v>-194</v>
      </c>
      <c r="H44" s="72">
        <v>-189</v>
      </c>
    </row>
    <row r="45" spans="2:8">
      <c r="B45" s="64"/>
      <c r="C45" s="68" t="s">
        <v>149</v>
      </c>
      <c r="D45" s="68"/>
      <c r="E45" s="64"/>
      <c r="F45" s="72">
        <v>5</v>
      </c>
      <c r="G45" s="72">
        <v>24</v>
      </c>
      <c r="H45" s="72">
        <v>22</v>
      </c>
    </row>
    <row r="46" spans="2:8">
      <c r="B46" s="68"/>
      <c r="C46" s="68"/>
      <c r="D46" s="68"/>
      <c r="E46" s="64"/>
      <c r="F46" s="246"/>
      <c r="G46" s="246"/>
      <c r="H46" s="246"/>
    </row>
    <row r="47" spans="2:8">
      <c r="B47" s="64"/>
      <c r="C47" s="68" t="s">
        <v>243</v>
      </c>
      <c r="D47" s="68"/>
      <c r="E47" s="64"/>
      <c r="F47" s="244">
        <f>SUM(F41:F46)</f>
        <v>-497</v>
      </c>
      <c r="G47" s="244">
        <f>SUM(G41:G46)</f>
        <v>-808</v>
      </c>
      <c r="H47" s="244">
        <f>SUM(H41:H46)</f>
        <v>-1053</v>
      </c>
    </row>
    <row r="48" spans="2:8">
      <c r="B48" s="68"/>
      <c r="C48" s="68"/>
      <c r="D48" s="68"/>
      <c r="E48" s="64"/>
      <c r="F48" s="243"/>
      <c r="G48" s="243"/>
      <c r="H48" s="243"/>
    </row>
    <row r="49" spans="2:8">
      <c r="B49" s="68" t="s">
        <v>161</v>
      </c>
      <c r="C49" s="68"/>
      <c r="D49" s="68"/>
      <c r="E49" s="64"/>
      <c r="F49" s="71">
        <v>70</v>
      </c>
      <c r="G49" s="71">
        <v>-57</v>
      </c>
      <c r="H49" s="71">
        <v>33</v>
      </c>
    </row>
    <row r="50" spans="2:8">
      <c r="B50" s="68"/>
      <c r="C50" s="68"/>
      <c r="D50" s="68"/>
      <c r="E50" s="64"/>
      <c r="F50" s="246"/>
      <c r="G50" s="246"/>
      <c r="H50" s="246"/>
    </row>
    <row r="51" spans="2:8">
      <c r="B51" s="68" t="s">
        <v>246</v>
      </c>
      <c r="C51" s="68"/>
      <c r="D51" s="68"/>
      <c r="E51" s="64"/>
      <c r="F51" s="71">
        <f>F27+F38+F47+F49</f>
        <v>794</v>
      </c>
      <c r="G51" s="71">
        <f>G27+G38+G47+G49</f>
        <v>353</v>
      </c>
      <c r="H51" s="71">
        <f>H27+H38+H47+H49</f>
        <v>44</v>
      </c>
    </row>
    <row r="52" spans="2:8">
      <c r="B52" s="68" t="s">
        <v>162</v>
      </c>
      <c r="C52" s="68"/>
      <c r="D52" s="68"/>
      <c r="E52" s="64"/>
      <c r="F52" s="71">
        <f>G54</f>
        <v>3165</v>
      </c>
      <c r="G52" s="71">
        <f>H54</f>
        <v>2812</v>
      </c>
      <c r="H52" s="71">
        <v>2768</v>
      </c>
    </row>
    <row r="53" spans="2:8">
      <c r="B53" s="68"/>
      <c r="C53" s="68"/>
      <c r="D53" s="68"/>
      <c r="E53" s="64"/>
      <c r="F53" s="73"/>
      <c r="G53" s="73"/>
      <c r="H53" s="73"/>
    </row>
    <row r="54" spans="2:8" ht="12.75" thickBot="1">
      <c r="B54" s="68" t="s">
        <v>163</v>
      </c>
      <c r="C54" s="68"/>
      <c r="D54" s="68"/>
      <c r="E54" s="64"/>
      <c r="F54" s="255">
        <f>F51+F52</f>
        <v>3959</v>
      </c>
      <c r="G54" s="255">
        <f>G51+G52</f>
        <v>3165</v>
      </c>
      <c r="H54" s="255">
        <f>H51+H52</f>
        <v>2812</v>
      </c>
    </row>
    <row r="55" spans="2:8">
      <c r="B55" s="68"/>
      <c r="C55" s="68"/>
      <c r="D55" s="68"/>
      <c r="E55" s="64"/>
      <c r="F55" s="73"/>
      <c r="G55" s="73"/>
      <c r="H55" s="73"/>
    </row>
    <row r="56" spans="2:8">
      <c r="E56" s="74"/>
      <c r="F56" s="74"/>
      <c r="G56" s="74"/>
      <c r="H56" s="74"/>
    </row>
    <row r="57" spans="2:8">
      <c r="B57" s="252" t="s">
        <v>182</v>
      </c>
    </row>
    <row r="58" spans="2:8">
      <c r="B58" s="252" t="s">
        <v>183</v>
      </c>
    </row>
  </sheetData>
  <mergeCells count="4">
    <mergeCell ref="B1:H1"/>
    <mergeCell ref="B2:H2"/>
    <mergeCell ref="B3:H3"/>
    <mergeCell ref="F6:H6"/>
  </mergeCells>
  <pageMargins left="0.7" right="0.7" top="0.25" bottom="0.44" header="0.3" footer="0.3"/>
  <pageSetup scale="82" orientation="landscape" r:id="rId1"/>
  <headerFooter>
    <oddFooter>&amp;LActivision Blizzard, Inc.&amp;R&amp;P of &amp; 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2"/>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3.42578125" style="75" customWidth="1"/>
    <col min="5" max="5" width="11" style="75" customWidth="1"/>
    <col min="6" max="6" width="9.42578125" style="75" customWidth="1"/>
    <col min="7" max="7" width="9.28515625" style="75" customWidth="1"/>
    <col min="8" max="8" width="12.140625" style="75" customWidth="1"/>
    <col min="9" max="9" width="11.14062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442" t="s">
        <v>70</v>
      </c>
      <c r="C1" s="442"/>
      <c r="D1" s="442"/>
      <c r="E1" s="442"/>
      <c r="F1" s="442"/>
      <c r="G1" s="442"/>
      <c r="H1" s="442"/>
      <c r="I1" s="442"/>
      <c r="J1" s="442"/>
      <c r="K1" s="442"/>
      <c r="L1" s="442"/>
      <c r="M1" s="442"/>
      <c r="N1" s="442"/>
    </row>
    <row r="2" spans="2:14">
      <c r="B2" s="442" t="s">
        <v>242</v>
      </c>
      <c r="C2" s="442"/>
      <c r="D2" s="442"/>
      <c r="E2" s="442"/>
      <c r="F2" s="442"/>
      <c r="G2" s="442"/>
      <c r="H2" s="442"/>
      <c r="I2" s="442"/>
      <c r="J2" s="442"/>
      <c r="K2" s="442"/>
      <c r="L2" s="442"/>
      <c r="M2" s="442"/>
      <c r="N2" s="442"/>
    </row>
    <row r="3" spans="2:14">
      <c r="B3" s="442" t="s">
        <v>100</v>
      </c>
      <c r="C3" s="442"/>
      <c r="D3" s="442"/>
      <c r="E3" s="442"/>
      <c r="F3" s="442"/>
      <c r="G3" s="442"/>
      <c r="H3" s="442"/>
      <c r="I3" s="442"/>
      <c r="J3" s="442"/>
      <c r="K3" s="442"/>
      <c r="L3" s="442"/>
      <c r="M3" s="442"/>
      <c r="N3" s="442"/>
    </row>
    <row r="4" spans="2:14">
      <c r="B4" s="394"/>
      <c r="C4" s="394"/>
      <c r="D4" s="394"/>
      <c r="E4" s="394"/>
      <c r="F4" s="394"/>
      <c r="G4" s="394"/>
      <c r="H4" s="394"/>
      <c r="I4" s="394"/>
      <c r="J4" s="394"/>
      <c r="K4" s="394"/>
      <c r="L4" s="394"/>
      <c r="M4" s="394"/>
    </row>
    <row r="5" spans="2:14" ht="12.75" thickBot="1">
      <c r="B5" s="77"/>
      <c r="C5" s="78"/>
      <c r="D5" s="79"/>
      <c r="E5" s="78"/>
      <c r="F5" s="78"/>
      <c r="G5" s="79"/>
      <c r="H5" s="79"/>
      <c r="I5" s="79"/>
      <c r="J5" s="79"/>
      <c r="K5" s="80"/>
      <c r="L5" s="80"/>
      <c r="M5" s="80"/>
    </row>
    <row r="6" spans="2:14" ht="60">
      <c r="B6" s="171" t="s">
        <v>249</v>
      </c>
      <c r="C6" s="172"/>
      <c r="D6" s="173"/>
      <c r="E6" s="82" t="s">
        <v>101</v>
      </c>
      <c r="F6" s="82" t="s">
        <v>102</v>
      </c>
      <c r="G6" s="82" t="s">
        <v>214</v>
      </c>
      <c r="H6" s="82" t="s">
        <v>103</v>
      </c>
      <c r="I6" s="82" t="s">
        <v>104</v>
      </c>
      <c r="J6" s="82" t="s">
        <v>105</v>
      </c>
      <c r="K6" s="82" t="s">
        <v>106</v>
      </c>
      <c r="L6" s="82" t="s">
        <v>107</v>
      </c>
      <c r="M6" s="83" t="s">
        <v>108</v>
      </c>
    </row>
    <row r="7" spans="2:14">
      <c r="B7" s="440" t="s">
        <v>109</v>
      </c>
      <c r="C7" s="441"/>
      <c r="D7" s="176"/>
      <c r="E7" s="114">
        <v>1324</v>
      </c>
      <c r="F7" s="114">
        <v>260</v>
      </c>
      <c r="G7" s="114">
        <v>57</v>
      </c>
      <c r="H7" s="114">
        <v>61</v>
      </c>
      <c r="I7" s="114">
        <v>38</v>
      </c>
      <c r="J7" s="114">
        <v>125</v>
      </c>
      <c r="K7" s="114">
        <v>107</v>
      </c>
      <c r="L7" s="114">
        <v>89</v>
      </c>
      <c r="M7" s="177">
        <f>SUM(F7:L7)</f>
        <v>737</v>
      </c>
    </row>
    <row r="8" spans="2:14" ht="12" customHeight="1">
      <c r="B8" s="89"/>
      <c r="C8" s="90" t="s">
        <v>49</v>
      </c>
      <c r="D8" s="113" t="s">
        <v>111</v>
      </c>
      <c r="E8" s="120">
        <v>-520</v>
      </c>
      <c r="F8" s="120">
        <v>-115</v>
      </c>
      <c r="G8" s="126">
        <v>0</v>
      </c>
      <c r="H8" s="120">
        <v>-33</v>
      </c>
      <c r="I8" s="120">
        <v>-3</v>
      </c>
      <c r="J8" s="126">
        <v>0</v>
      </c>
      <c r="K8" s="126">
        <v>0</v>
      </c>
      <c r="L8" s="126">
        <v>0</v>
      </c>
      <c r="M8" s="178">
        <f>SUM(F8:L8)</f>
        <v>-151</v>
      </c>
    </row>
    <row r="9" spans="2:14">
      <c r="B9" s="89"/>
      <c r="C9" s="90" t="s">
        <v>50</v>
      </c>
      <c r="D9" s="113" t="s">
        <v>112</v>
      </c>
      <c r="E9" s="179">
        <v>0</v>
      </c>
      <c r="F9" s="126">
        <v>0</v>
      </c>
      <c r="G9" s="126">
        <v>0</v>
      </c>
      <c r="H9" s="126">
        <v>-5</v>
      </c>
      <c r="I9" s="126">
        <v>0</v>
      </c>
      <c r="J9" s="120">
        <v>-7</v>
      </c>
      <c r="K9" s="120">
        <v>-2</v>
      </c>
      <c r="L9" s="120">
        <v>-12</v>
      </c>
      <c r="M9" s="178">
        <f>SUM(F9:L9)</f>
        <v>-26</v>
      </c>
    </row>
    <row r="10" spans="2:14">
      <c r="B10" s="89"/>
      <c r="C10" s="90" t="s">
        <v>134</v>
      </c>
      <c r="D10" s="113" t="s">
        <v>113</v>
      </c>
      <c r="E10" s="126">
        <v>0</v>
      </c>
      <c r="F10" s="126">
        <v>0</v>
      </c>
      <c r="G10" s="126">
        <v>0</v>
      </c>
      <c r="H10" s="126">
        <v>0</v>
      </c>
      <c r="I10" s="120">
        <v>-3</v>
      </c>
      <c r="J10" s="126">
        <v>0</v>
      </c>
      <c r="K10" s="126">
        <v>0</v>
      </c>
      <c r="L10" s="126">
        <v>0</v>
      </c>
      <c r="M10" s="178">
        <f>SUM(F10:L10)</f>
        <v>-3</v>
      </c>
    </row>
    <row r="11" spans="2:14" ht="12.75" thickBot="1">
      <c r="B11" s="443" t="s">
        <v>115</v>
      </c>
      <c r="C11" s="444"/>
      <c r="D11" s="205"/>
      <c r="E11" s="132">
        <f t="shared" ref="E11:M11" si="0">SUM(E7:E10)</f>
        <v>804</v>
      </c>
      <c r="F11" s="132">
        <f t="shared" si="0"/>
        <v>145</v>
      </c>
      <c r="G11" s="132">
        <f t="shared" si="0"/>
        <v>57</v>
      </c>
      <c r="H11" s="132">
        <f t="shared" si="0"/>
        <v>23</v>
      </c>
      <c r="I11" s="132">
        <f t="shared" si="0"/>
        <v>32</v>
      </c>
      <c r="J11" s="132">
        <f t="shared" si="0"/>
        <v>118</v>
      </c>
      <c r="K11" s="132">
        <f t="shared" si="0"/>
        <v>105</v>
      </c>
      <c r="L11" s="132">
        <f t="shared" si="0"/>
        <v>77</v>
      </c>
      <c r="M11" s="183">
        <f t="shared" si="0"/>
        <v>557</v>
      </c>
    </row>
    <row r="12" spans="2:14" ht="5.25" customHeight="1" thickTop="1" thickBot="1">
      <c r="B12" s="99"/>
      <c r="C12" s="100"/>
      <c r="D12" s="101"/>
      <c r="E12" s="100"/>
      <c r="F12" s="102"/>
      <c r="G12" s="102"/>
      <c r="H12" s="102"/>
      <c r="I12" s="102"/>
      <c r="J12" s="102"/>
      <c r="K12" s="102"/>
      <c r="L12" s="102"/>
      <c r="M12" s="103"/>
    </row>
    <row r="13" spans="2:14" ht="12.75" customHeight="1" thickBot="1">
      <c r="B13" s="104"/>
      <c r="C13" s="105"/>
      <c r="D13" s="106"/>
      <c r="E13" s="105"/>
      <c r="F13" s="105"/>
      <c r="G13" s="105"/>
      <c r="H13" s="105"/>
      <c r="I13" s="105"/>
      <c r="J13" s="105"/>
      <c r="K13" s="105"/>
      <c r="L13" s="105"/>
      <c r="M13" s="105"/>
    </row>
    <row r="14" spans="2:14" ht="36">
      <c r="B14" s="190" t="str">
        <f>B6</f>
        <v>Three Months Ended March 31, 2013</v>
      </c>
      <c r="C14" s="191"/>
      <c r="D14" s="107"/>
      <c r="E14" s="108" t="s">
        <v>122</v>
      </c>
      <c r="F14" s="108" t="s">
        <v>123</v>
      </c>
      <c r="G14" s="301" t="s">
        <v>124</v>
      </c>
      <c r="H14" s="302" t="s">
        <v>125</v>
      </c>
      <c r="I14" s="110"/>
      <c r="J14" s="111"/>
      <c r="K14" s="112"/>
      <c r="L14" s="104"/>
      <c r="M14" s="104"/>
    </row>
    <row r="15" spans="2:14">
      <c r="B15" s="440" t="s">
        <v>109</v>
      </c>
      <c r="C15" s="441"/>
      <c r="D15" s="113"/>
      <c r="E15" s="114">
        <f>E7-M7</f>
        <v>587</v>
      </c>
      <c r="F15" s="208">
        <v>456</v>
      </c>
      <c r="G15" s="303">
        <v>0.4</v>
      </c>
      <c r="H15" s="304">
        <v>0.4</v>
      </c>
      <c r="I15" s="117"/>
      <c r="J15" s="118"/>
      <c r="K15" s="112"/>
      <c r="L15" s="104"/>
      <c r="M15" s="104"/>
      <c r="N15" s="104"/>
    </row>
    <row r="16" spans="2:14" ht="12" customHeight="1">
      <c r="B16" s="89"/>
      <c r="C16" s="90" t="s">
        <v>49</v>
      </c>
      <c r="D16" s="113" t="s">
        <v>111</v>
      </c>
      <c r="E16" s="119">
        <f>E8-M8</f>
        <v>-369</v>
      </c>
      <c r="F16" s="209">
        <v>-277</v>
      </c>
      <c r="G16" s="305">
        <v>-0.24</v>
      </c>
      <c r="H16" s="306">
        <v>-0.24</v>
      </c>
      <c r="I16" s="117"/>
      <c r="J16" s="117"/>
      <c r="K16" s="117"/>
      <c r="L16" s="117"/>
      <c r="M16" s="117"/>
      <c r="N16" s="124"/>
    </row>
    <row r="17" spans="2:14">
      <c r="B17" s="89"/>
      <c r="C17" s="90" t="s">
        <v>50</v>
      </c>
      <c r="D17" s="113" t="s">
        <v>112</v>
      </c>
      <c r="E17" s="119">
        <f>E9-M9</f>
        <v>26</v>
      </c>
      <c r="F17" s="209">
        <v>18</v>
      </c>
      <c r="G17" s="305">
        <v>0.02</v>
      </c>
      <c r="H17" s="306">
        <v>0.02</v>
      </c>
      <c r="I17" s="123"/>
      <c r="J17" s="123"/>
      <c r="K17" s="124"/>
      <c r="L17" s="124"/>
      <c r="M17" s="124"/>
      <c r="N17" s="124"/>
    </row>
    <row r="18" spans="2:14">
      <c r="B18" s="89"/>
      <c r="C18" s="90" t="s">
        <v>134</v>
      </c>
      <c r="D18" s="113" t="s">
        <v>113</v>
      </c>
      <c r="E18" s="119">
        <f>E10-M10</f>
        <v>3</v>
      </c>
      <c r="F18" s="209">
        <v>2</v>
      </c>
      <c r="G18" s="384">
        <v>0</v>
      </c>
      <c r="H18" s="306">
        <v>0</v>
      </c>
      <c r="I18" s="128"/>
      <c r="J18" s="128"/>
      <c r="K18" s="129"/>
      <c r="L18" s="124"/>
      <c r="M18" s="124"/>
      <c r="N18" s="124"/>
    </row>
    <row r="19" spans="2:14" ht="12.75" thickBot="1">
      <c r="B19" s="443" t="s">
        <v>115</v>
      </c>
      <c r="C19" s="444"/>
      <c r="D19" s="131"/>
      <c r="E19" s="132">
        <f>SUM(E15:E18)</f>
        <v>247</v>
      </c>
      <c r="F19" s="132">
        <f>SUM(F15:F18)</f>
        <v>199</v>
      </c>
      <c r="G19" s="310">
        <v>0.17</v>
      </c>
      <c r="H19" s="311">
        <v>0.17</v>
      </c>
      <c r="I19" s="135"/>
      <c r="J19" s="105"/>
      <c r="K19" s="105"/>
      <c r="L19" s="105"/>
      <c r="M19" s="105"/>
      <c r="N19" s="105"/>
    </row>
    <row r="20" spans="2:14" ht="5.25" customHeight="1" thickTop="1" thickBot="1">
      <c r="B20" s="136"/>
      <c r="C20" s="137"/>
      <c r="D20" s="138"/>
      <c r="E20" s="139"/>
      <c r="F20" s="139"/>
      <c r="G20" s="139"/>
      <c r="H20" s="140"/>
      <c r="I20" s="104"/>
      <c r="J20" s="105"/>
      <c r="K20" s="105"/>
      <c r="L20" s="105"/>
      <c r="M20" s="105"/>
      <c r="N20" s="105"/>
    </row>
    <row r="21" spans="2:14" ht="12.75" thickBot="1">
      <c r="B21" s="104"/>
      <c r="C21" s="104"/>
      <c r="D21" s="170"/>
      <c r="E21" s="104"/>
      <c r="F21" s="104"/>
      <c r="G21" s="104"/>
      <c r="H21" s="104"/>
      <c r="I21" s="104"/>
      <c r="J21" s="105"/>
      <c r="K21" s="105"/>
      <c r="L21" s="105"/>
      <c r="M21" s="105"/>
      <c r="N21" s="105"/>
    </row>
    <row r="22" spans="2:14" ht="60">
      <c r="B22" s="171" t="s">
        <v>256</v>
      </c>
      <c r="C22" s="172"/>
      <c r="D22" s="173"/>
      <c r="E22" s="82" t="s">
        <v>101</v>
      </c>
      <c r="F22" s="82" t="s">
        <v>102</v>
      </c>
      <c r="G22" s="82" t="s">
        <v>214</v>
      </c>
      <c r="H22" s="82" t="s">
        <v>103</v>
      </c>
      <c r="I22" s="82" t="s">
        <v>104</v>
      </c>
      <c r="J22" s="82" t="s">
        <v>105</v>
      </c>
      <c r="K22" s="82" t="s">
        <v>106</v>
      </c>
      <c r="L22" s="82" t="s">
        <v>107</v>
      </c>
      <c r="M22" s="83" t="s">
        <v>108</v>
      </c>
    </row>
    <row r="23" spans="2:14">
      <c r="B23" s="440" t="s">
        <v>109</v>
      </c>
      <c r="C23" s="441"/>
      <c r="D23" s="176"/>
      <c r="E23" s="114">
        <v>1050</v>
      </c>
      <c r="F23" s="114">
        <v>179</v>
      </c>
      <c r="G23" s="114">
        <v>54</v>
      </c>
      <c r="H23" s="114">
        <v>38</v>
      </c>
      <c r="I23" s="114">
        <v>14</v>
      </c>
      <c r="J23" s="114">
        <v>123</v>
      </c>
      <c r="K23" s="114">
        <v>116</v>
      </c>
      <c r="L23" s="114">
        <v>96</v>
      </c>
      <c r="M23" s="177">
        <f>SUM(F23:L23)</f>
        <v>620</v>
      </c>
    </row>
    <row r="24" spans="2:14" ht="12" customHeight="1">
      <c r="B24" s="89"/>
      <c r="C24" s="90" t="s">
        <v>49</v>
      </c>
      <c r="D24" s="113" t="s">
        <v>111</v>
      </c>
      <c r="E24" s="120">
        <v>-442</v>
      </c>
      <c r="F24" s="120">
        <v>-77</v>
      </c>
      <c r="G24" s="126">
        <v>0</v>
      </c>
      <c r="H24" s="120">
        <v>-26</v>
      </c>
      <c r="I24" s="120">
        <v>-1</v>
      </c>
      <c r="J24" s="126">
        <v>0</v>
      </c>
      <c r="K24" s="126">
        <v>0</v>
      </c>
      <c r="L24" s="126">
        <v>0</v>
      </c>
      <c r="M24" s="178">
        <f>SUM(F24:L24)</f>
        <v>-104</v>
      </c>
    </row>
    <row r="25" spans="2:14">
      <c r="B25" s="89"/>
      <c r="C25" s="90" t="s">
        <v>50</v>
      </c>
      <c r="D25" s="113" t="s">
        <v>112</v>
      </c>
      <c r="E25" s="179">
        <v>0</v>
      </c>
      <c r="F25" s="126">
        <v>0</v>
      </c>
      <c r="G25" s="126">
        <v>0</v>
      </c>
      <c r="H25" s="126">
        <v>-3</v>
      </c>
      <c r="I25" s="126">
        <v>0</v>
      </c>
      <c r="J25" s="120">
        <v>-7</v>
      </c>
      <c r="K25" s="120">
        <v>-2</v>
      </c>
      <c r="L25" s="120">
        <v>-12</v>
      </c>
      <c r="M25" s="178">
        <f>SUM(F25:L25)</f>
        <v>-24</v>
      </c>
    </row>
    <row r="26" spans="2:14">
      <c r="B26" s="89"/>
      <c r="C26" s="90" t="s">
        <v>134</v>
      </c>
      <c r="D26" s="113" t="s">
        <v>113</v>
      </c>
      <c r="E26" s="126">
        <v>0</v>
      </c>
      <c r="F26" s="126">
        <v>0</v>
      </c>
      <c r="G26" s="126">
        <v>0</v>
      </c>
      <c r="H26" s="126">
        <v>0</v>
      </c>
      <c r="I26" s="120">
        <v>-3</v>
      </c>
      <c r="J26" s="126">
        <v>0</v>
      </c>
      <c r="K26" s="126">
        <v>0</v>
      </c>
      <c r="L26" s="126">
        <v>0</v>
      </c>
      <c r="M26" s="178">
        <f>SUM(F26:L26)</f>
        <v>-3</v>
      </c>
    </row>
    <row r="27" spans="2:14" ht="12.75" thickBot="1">
      <c r="B27" s="443" t="s">
        <v>115</v>
      </c>
      <c r="C27" s="444"/>
      <c r="D27" s="205"/>
      <c r="E27" s="132">
        <f t="shared" ref="E27:M27" si="1">SUM(E23:E26)</f>
        <v>608</v>
      </c>
      <c r="F27" s="132">
        <f t="shared" si="1"/>
        <v>102</v>
      </c>
      <c r="G27" s="132">
        <f t="shared" si="1"/>
        <v>54</v>
      </c>
      <c r="H27" s="132">
        <f t="shared" si="1"/>
        <v>9</v>
      </c>
      <c r="I27" s="132">
        <f t="shared" si="1"/>
        <v>10</v>
      </c>
      <c r="J27" s="132">
        <f t="shared" si="1"/>
        <v>116</v>
      </c>
      <c r="K27" s="132">
        <f t="shared" si="1"/>
        <v>114</v>
      </c>
      <c r="L27" s="132">
        <f t="shared" si="1"/>
        <v>84</v>
      </c>
      <c r="M27" s="183">
        <f t="shared" si="1"/>
        <v>489</v>
      </c>
    </row>
    <row r="28" spans="2:14" ht="5.25" customHeight="1" thickTop="1" thickBot="1">
      <c r="B28" s="99"/>
      <c r="C28" s="100"/>
      <c r="D28" s="101"/>
      <c r="E28" s="100"/>
      <c r="F28" s="102"/>
      <c r="G28" s="102"/>
      <c r="H28" s="102"/>
      <c r="I28" s="102"/>
      <c r="J28" s="102"/>
      <c r="K28" s="102"/>
      <c r="L28" s="102"/>
      <c r="M28" s="103"/>
    </row>
    <row r="29" spans="2:14" ht="12.75" customHeight="1" thickBot="1">
      <c r="B29" s="104"/>
      <c r="C29" s="105"/>
      <c r="D29" s="106"/>
      <c r="E29" s="105"/>
      <c r="F29" s="105"/>
      <c r="G29" s="105"/>
      <c r="H29" s="105"/>
      <c r="I29" s="105"/>
      <c r="J29" s="105"/>
      <c r="K29" s="105"/>
      <c r="L29" s="105"/>
      <c r="M29" s="105"/>
    </row>
    <row r="30" spans="2:14" ht="36">
      <c r="B30" s="190" t="str">
        <f>B22</f>
        <v>Three Months Ended June 30, 2013</v>
      </c>
      <c r="C30" s="191"/>
      <c r="D30" s="107"/>
      <c r="E30" s="108" t="s">
        <v>122</v>
      </c>
      <c r="F30" s="108" t="s">
        <v>123</v>
      </c>
      <c r="G30" s="301" t="s">
        <v>124</v>
      </c>
      <c r="H30" s="302" t="s">
        <v>125</v>
      </c>
      <c r="I30" s="110"/>
      <c r="J30" s="111"/>
      <c r="K30" s="112"/>
      <c r="L30" s="104"/>
      <c r="M30" s="104"/>
    </row>
    <row r="31" spans="2:14">
      <c r="B31" s="440" t="s">
        <v>109</v>
      </c>
      <c r="C31" s="441"/>
      <c r="D31" s="113"/>
      <c r="E31" s="114">
        <f>E23-M23</f>
        <v>430</v>
      </c>
      <c r="F31" s="208">
        <v>324</v>
      </c>
      <c r="G31" s="303">
        <v>0.28000000000000003</v>
      </c>
      <c r="H31" s="304">
        <v>0.28000000000000003</v>
      </c>
      <c r="I31" s="117"/>
      <c r="J31" s="118"/>
      <c r="K31" s="112"/>
      <c r="L31" s="104"/>
      <c r="M31" s="104"/>
      <c r="N31" s="104"/>
    </row>
    <row r="32" spans="2:14" ht="12" customHeight="1">
      <c r="B32" s="89"/>
      <c r="C32" s="90" t="s">
        <v>49</v>
      </c>
      <c r="D32" s="113" t="s">
        <v>111</v>
      </c>
      <c r="E32" s="119">
        <f>E24-M24</f>
        <v>-338</v>
      </c>
      <c r="F32" s="209">
        <v>-251</v>
      </c>
      <c r="G32" s="305">
        <v>-0.22</v>
      </c>
      <c r="H32" s="306">
        <v>-0.22</v>
      </c>
      <c r="I32" s="117"/>
      <c r="J32" s="117"/>
      <c r="K32" s="117"/>
      <c r="L32" s="117"/>
      <c r="M32" s="117"/>
      <c r="N32" s="124"/>
    </row>
    <row r="33" spans="2:14">
      <c r="B33" s="89"/>
      <c r="C33" s="90" t="s">
        <v>50</v>
      </c>
      <c r="D33" s="113" t="s">
        <v>112</v>
      </c>
      <c r="E33" s="119">
        <f>E25-M25</f>
        <v>24</v>
      </c>
      <c r="F33" s="209">
        <v>15</v>
      </c>
      <c r="G33" s="305">
        <v>0.01</v>
      </c>
      <c r="H33" s="306">
        <v>0.01</v>
      </c>
      <c r="I33" s="123"/>
      <c r="J33" s="123"/>
      <c r="K33" s="124"/>
      <c r="L33" s="124"/>
      <c r="M33" s="124"/>
      <c r="N33" s="124"/>
    </row>
    <row r="34" spans="2:14">
      <c r="B34" s="89"/>
      <c r="C34" s="90" t="s">
        <v>134</v>
      </c>
      <c r="D34" s="113" t="s">
        <v>113</v>
      </c>
      <c r="E34" s="119">
        <f>E26-M26</f>
        <v>3</v>
      </c>
      <c r="F34" s="209">
        <v>2</v>
      </c>
      <c r="G34" s="384">
        <v>0</v>
      </c>
      <c r="H34" s="306">
        <v>0</v>
      </c>
      <c r="I34" s="128"/>
      <c r="J34" s="128"/>
      <c r="K34" s="129"/>
      <c r="L34" s="124"/>
      <c r="M34" s="124"/>
      <c r="N34" s="124"/>
    </row>
    <row r="35" spans="2:14" ht="12.75" thickBot="1">
      <c r="B35" s="443" t="s">
        <v>115</v>
      </c>
      <c r="C35" s="444"/>
      <c r="D35" s="131"/>
      <c r="E35" s="132">
        <f>SUM(E31:E34)</f>
        <v>119</v>
      </c>
      <c r="F35" s="132">
        <f>SUM(F31:F34)</f>
        <v>90</v>
      </c>
      <c r="G35" s="310">
        <v>0.08</v>
      </c>
      <c r="H35" s="311">
        <v>0.08</v>
      </c>
      <c r="I35" s="135"/>
      <c r="J35" s="105"/>
      <c r="K35" s="105"/>
      <c r="L35" s="105"/>
      <c r="M35" s="105"/>
      <c r="N35" s="105"/>
    </row>
    <row r="36" spans="2:14" ht="5.25" customHeight="1" thickTop="1" thickBot="1">
      <c r="B36" s="136"/>
      <c r="C36" s="137"/>
      <c r="D36" s="138"/>
      <c r="E36" s="139"/>
      <c r="F36" s="139"/>
      <c r="G36" s="139"/>
      <c r="H36" s="140"/>
      <c r="I36" s="104"/>
      <c r="J36" s="105"/>
      <c r="K36" s="105"/>
      <c r="L36" s="105"/>
      <c r="M36" s="105"/>
      <c r="N36" s="105"/>
    </row>
    <row r="37" spans="2:14" ht="5.25" customHeight="1" thickBot="1">
      <c r="B37" s="104"/>
      <c r="C37" s="104"/>
      <c r="D37" s="170"/>
      <c r="E37" s="104"/>
      <c r="F37" s="104"/>
      <c r="G37" s="104"/>
      <c r="H37" s="104"/>
      <c r="I37" s="104"/>
      <c r="J37" s="105"/>
      <c r="K37" s="105"/>
      <c r="L37" s="105"/>
      <c r="M37" s="105"/>
      <c r="N37" s="105"/>
    </row>
    <row r="38" spans="2:14" ht="60">
      <c r="B38" s="171" t="s">
        <v>257</v>
      </c>
      <c r="C38" s="172"/>
      <c r="D38" s="173"/>
      <c r="E38" s="82" t="s">
        <v>101</v>
      </c>
      <c r="F38" s="82" t="s">
        <v>102</v>
      </c>
      <c r="G38" s="82" t="s">
        <v>214</v>
      </c>
      <c r="H38" s="82" t="s">
        <v>103</v>
      </c>
      <c r="I38" s="82" t="s">
        <v>104</v>
      </c>
      <c r="J38" s="82" t="s">
        <v>105</v>
      </c>
      <c r="K38" s="82" t="s">
        <v>106</v>
      </c>
      <c r="L38" s="82" t="s">
        <v>107</v>
      </c>
      <c r="M38" s="83" t="s">
        <v>108</v>
      </c>
    </row>
    <row r="39" spans="2:14">
      <c r="B39" s="440" t="s">
        <v>109</v>
      </c>
      <c r="C39" s="441"/>
      <c r="D39" s="176"/>
      <c r="E39" s="114">
        <v>691</v>
      </c>
      <c r="F39" s="114">
        <v>111</v>
      </c>
      <c r="G39" s="114">
        <v>43</v>
      </c>
      <c r="H39" s="114">
        <v>16</v>
      </c>
      <c r="I39" s="114">
        <v>5</v>
      </c>
      <c r="J39" s="114">
        <v>140</v>
      </c>
      <c r="K39" s="114">
        <v>144</v>
      </c>
      <c r="L39" s="114">
        <v>162</v>
      </c>
      <c r="M39" s="177">
        <f>SUM(F39:L39)</f>
        <v>621</v>
      </c>
    </row>
    <row r="40" spans="2:14" ht="12" customHeight="1">
      <c r="B40" s="89"/>
      <c r="C40" s="90" t="s">
        <v>49</v>
      </c>
      <c r="D40" s="113" t="s">
        <v>111</v>
      </c>
      <c r="E40" s="120">
        <v>-34</v>
      </c>
      <c r="F40" s="120">
        <v>1</v>
      </c>
      <c r="G40" s="126">
        <v>0</v>
      </c>
      <c r="H40" s="120">
        <v>-3</v>
      </c>
      <c r="I40" s="126">
        <v>0</v>
      </c>
      <c r="J40" s="126">
        <v>0</v>
      </c>
      <c r="K40" s="126">
        <v>0</v>
      </c>
      <c r="L40" s="126">
        <v>0</v>
      </c>
      <c r="M40" s="178">
        <f>SUM(F40:L40)</f>
        <v>-2</v>
      </c>
    </row>
    <row r="41" spans="2:14">
      <c r="B41" s="89"/>
      <c r="C41" s="90" t="s">
        <v>50</v>
      </c>
      <c r="D41" s="113" t="s">
        <v>112</v>
      </c>
      <c r="E41" s="179">
        <v>0</v>
      </c>
      <c r="F41" s="126">
        <v>0</v>
      </c>
      <c r="G41" s="126">
        <v>0</v>
      </c>
      <c r="H41" s="126">
        <v>-1</v>
      </c>
      <c r="I41" s="126">
        <v>0</v>
      </c>
      <c r="J41" s="120">
        <v>-9</v>
      </c>
      <c r="K41" s="120">
        <v>-2</v>
      </c>
      <c r="L41" s="120">
        <v>-13</v>
      </c>
      <c r="M41" s="178">
        <f>SUM(F41:L41)</f>
        <v>-25</v>
      </c>
    </row>
    <row r="42" spans="2:14">
      <c r="B42" s="89"/>
      <c r="C42" s="90" t="s">
        <v>134</v>
      </c>
      <c r="D42" s="113" t="s">
        <v>113</v>
      </c>
      <c r="E42" s="179">
        <v>0</v>
      </c>
      <c r="F42" s="126">
        <v>0</v>
      </c>
      <c r="G42" s="126">
        <v>0</v>
      </c>
      <c r="H42" s="126">
        <v>0</v>
      </c>
      <c r="I42" s="126">
        <v>-3</v>
      </c>
      <c r="J42" s="126">
        <v>0</v>
      </c>
      <c r="K42" s="126">
        <v>0</v>
      </c>
      <c r="L42" s="126">
        <v>0</v>
      </c>
      <c r="M42" s="178">
        <f>SUM(F42:L42)</f>
        <v>-3</v>
      </c>
    </row>
    <row r="43" spans="2:14" ht="24">
      <c r="B43" s="89"/>
      <c r="C43" s="90" t="s">
        <v>278</v>
      </c>
      <c r="D43" s="113" t="s">
        <v>121</v>
      </c>
      <c r="E43" s="126">
        <v>0</v>
      </c>
      <c r="F43" s="126">
        <v>0</v>
      </c>
      <c r="G43" s="126">
        <v>0</v>
      </c>
      <c r="H43" s="126">
        <v>0</v>
      </c>
      <c r="I43" s="126">
        <v>0</v>
      </c>
      <c r="J43" s="126">
        <v>0</v>
      </c>
      <c r="K43" s="126">
        <v>0</v>
      </c>
      <c r="L43" s="126">
        <v>-62</v>
      </c>
      <c r="M43" s="178">
        <f>SUM(F43:L43)</f>
        <v>-62</v>
      </c>
    </row>
    <row r="44" spans="2:14" ht="12.75" thickBot="1">
      <c r="B44" s="443" t="s">
        <v>115</v>
      </c>
      <c r="C44" s="444"/>
      <c r="D44" s="205"/>
      <c r="E44" s="132">
        <f t="shared" ref="E44:M44" si="2">SUM(E39:E43)</f>
        <v>657</v>
      </c>
      <c r="F44" s="132">
        <f t="shared" si="2"/>
        <v>112</v>
      </c>
      <c r="G44" s="132">
        <f t="shared" si="2"/>
        <v>43</v>
      </c>
      <c r="H44" s="132">
        <f t="shared" si="2"/>
        <v>12</v>
      </c>
      <c r="I44" s="132">
        <f t="shared" si="2"/>
        <v>2</v>
      </c>
      <c r="J44" s="132">
        <f t="shared" si="2"/>
        <v>131</v>
      </c>
      <c r="K44" s="132">
        <f t="shared" si="2"/>
        <v>142</v>
      </c>
      <c r="L44" s="132">
        <f t="shared" si="2"/>
        <v>87</v>
      </c>
      <c r="M44" s="183">
        <f t="shared" si="2"/>
        <v>529</v>
      </c>
    </row>
    <row r="45" spans="2:14" ht="5.25" customHeight="1" thickTop="1" thickBot="1">
      <c r="B45" s="99"/>
      <c r="C45" s="100"/>
      <c r="D45" s="101"/>
      <c r="E45" s="100"/>
      <c r="F45" s="102"/>
      <c r="G45" s="102"/>
      <c r="H45" s="102"/>
      <c r="I45" s="102"/>
      <c r="J45" s="102"/>
      <c r="K45" s="102"/>
      <c r="L45" s="102"/>
      <c r="M45" s="103"/>
    </row>
    <row r="46" spans="2:14" ht="12.75" customHeight="1" thickBot="1">
      <c r="B46" s="104"/>
      <c r="C46" s="105"/>
      <c r="D46" s="106"/>
      <c r="E46" s="105"/>
      <c r="F46" s="105"/>
      <c r="G46" s="105"/>
      <c r="H46" s="105"/>
      <c r="I46" s="105"/>
      <c r="J46" s="105"/>
      <c r="K46" s="105"/>
      <c r="L46" s="105"/>
      <c r="M46" s="105"/>
    </row>
    <row r="47" spans="2:14" ht="36">
      <c r="B47" s="190" t="str">
        <f>B38</f>
        <v>Three Months Ended September 30, 2013</v>
      </c>
      <c r="C47" s="191"/>
      <c r="D47" s="107"/>
      <c r="E47" s="108" t="s">
        <v>122</v>
      </c>
      <c r="F47" s="108" t="s">
        <v>123</v>
      </c>
      <c r="G47" s="301" t="s">
        <v>124</v>
      </c>
      <c r="H47" s="302" t="s">
        <v>125</v>
      </c>
      <c r="I47" s="110"/>
      <c r="J47" s="111"/>
      <c r="K47" s="112"/>
      <c r="L47" s="104"/>
      <c r="M47" s="104"/>
    </row>
    <row r="48" spans="2:14">
      <c r="B48" s="440" t="s">
        <v>109</v>
      </c>
      <c r="C48" s="441"/>
      <c r="D48" s="113"/>
      <c r="E48" s="114">
        <f>E39-M39</f>
        <v>70</v>
      </c>
      <c r="F48" s="208">
        <v>56</v>
      </c>
      <c r="G48" s="303">
        <v>0.05</v>
      </c>
      <c r="H48" s="304">
        <v>0.05</v>
      </c>
      <c r="I48" s="117"/>
      <c r="J48" s="118"/>
      <c r="K48" s="112"/>
      <c r="L48" s="104"/>
      <c r="M48" s="104"/>
      <c r="N48" s="104"/>
    </row>
    <row r="49" spans="2:14" ht="12" customHeight="1">
      <c r="B49" s="89"/>
      <c r="C49" s="90" t="s">
        <v>49</v>
      </c>
      <c r="D49" s="113" t="s">
        <v>111</v>
      </c>
      <c r="E49" s="119">
        <f>E40-M40</f>
        <v>-32</v>
      </c>
      <c r="F49" s="209">
        <v>-23</v>
      </c>
      <c r="G49" s="305">
        <v>-0.02</v>
      </c>
      <c r="H49" s="306">
        <v>-0.02</v>
      </c>
      <c r="I49" s="117"/>
      <c r="J49" s="117"/>
      <c r="K49" s="117"/>
      <c r="L49" s="117"/>
      <c r="M49" s="117"/>
      <c r="N49" s="124"/>
    </row>
    <row r="50" spans="2:14">
      <c r="B50" s="89"/>
      <c r="C50" s="90" t="s">
        <v>50</v>
      </c>
      <c r="D50" s="113" t="s">
        <v>112</v>
      </c>
      <c r="E50" s="119">
        <f>E41-M41</f>
        <v>25</v>
      </c>
      <c r="F50" s="209">
        <v>16</v>
      </c>
      <c r="G50" s="305">
        <v>0.01</v>
      </c>
      <c r="H50" s="306">
        <v>0.01</v>
      </c>
      <c r="I50" s="123"/>
      <c r="J50" s="123"/>
      <c r="K50" s="124"/>
      <c r="L50" s="124"/>
      <c r="M50" s="124"/>
      <c r="N50" s="124"/>
    </row>
    <row r="51" spans="2:14">
      <c r="B51" s="89"/>
      <c r="C51" s="90" t="s">
        <v>134</v>
      </c>
      <c r="D51" s="113" t="s">
        <v>113</v>
      </c>
      <c r="E51" s="119">
        <f>E42-M42</f>
        <v>3</v>
      </c>
      <c r="F51" s="209">
        <v>2</v>
      </c>
      <c r="G51" s="305">
        <v>0</v>
      </c>
      <c r="H51" s="306">
        <v>0</v>
      </c>
      <c r="I51" s="123"/>
      <c r="J51" s="123"/>
      <c r="K51" s="124"/>
      <c r="L51" s="124"/>
      <c r="M51" s="124"/>
      <c r="N51" s="124"/>
    </row>
    <row r="52" spans="2:14" ht="24">
      <c r="B52" s="89"/>
      <c r="C52" s="90" t="s">
        <v>278</v>
      </c>
      <c r="D52" s="113" t="s">
        <v>121</v>
      </c>
      <c r="E52" s="119">
        <f>E43-M43</f>
        <v>62</v>
      </c>
      <c r="F52" s="209">
        <v>39</v>
      </c>
      <c r="G52" s="384">
        <v>0.03</v>
      </c>
      <c r="H52" s="306">
        <v>0.03</v>
      </c>
      <c r="I52" s="128"/>
      <c r="J52" s="128"/>
      <c r="K52" s="129"/>
      <c r="L52" s="124"/>
      <c r="M52" s="124"/>
      <c r="N52" s="124"/>
    </row>
    <row r="53" spans="2:14" ht="12.75" thickBot="1">
      <c r="B53" s="443" t="s">
        <v>115</v>
      </c>
      <c r="C53" s="444"/>
      <c r="D53" s="131"/>
      <c r="E53" s="132">
        <f>SUM(E48:E52)</f>
        <v>128</v>
      </c>
      <c r="F53" s="132">
        <f>SUM(F48:F52)</f>
        <v>90</v>
      </c>
      <c r="G53" s="310">
        <v>0.08</v>
      </c>
      <c r="H53" s="311">
        <v>0.08</v>
      </c>
      <c r="I53" s="135"/>
      <c r="J53" s="105"/>
      <c r="K53" s="105"/>
      <c r="L53" s="105"/>
      <c r="M53" s="105"/>
      <c r="N53" s="105"/>
    </row>
    <row r="54" spans="2:14" ht="5.25" customHeight="1" thickTop="1" thickBot="1">
      <c r="B54" s="136"/>
      <c r="C54" s="137"/>
      <c r="D54" s="138"/>
      <c r="E54" s="139"/>
      <c r="F54" s="139"/>
      <c r="G54" s="139"/>
      <c r="H54" s="140"/>
      <c r="I54" s="104"/>
      <c r="J54" s="105"/>
      <c r="K54" s="105"/>
      <c r="L54" s="105"/>
      <c r="M54" s="105"/>
      <c r="N54" s="105"/>
    </row>
    <row r="55" spans="2:14" ht="5.25" customHeight="1">
      <c r="B55" s="104"/>
      <c r="C55" s="104"/>
      <c r="D55" s="170"/>
      <c r="E55" s="104"/>
      <c r="F55" s="104"/>
      <c r="G55" s="104"/>
      <c r="H55" s="104"/>
      <c r="I55" s="104"/>
      <c r="J55" s="105"/>
      <c r="K55" s="105"/>
      <c r="L55" s="105"/>
      <c r="M55" s="105"/>
      <c r="N55" s="105"/>
    </row>
    <row r="56" spans="2:14">
      <c r="B56" s="104"/>
      <c r="C56" s="104"/>
      <c r="D56" s="170"/>
      <c r="E56" s="104"/>
      <c r="F56" s="104"/>
      <c r="G56" s="104"/>
      <c r="H56" s="104"/>
      <c r="I56" s="104"/>
      <c r="J56" s="105"/>
      <c r="K56" s="105"/>
      <c r="L56" s="105"/>
      <c r="M56" s="105"/>
      <c r="N56" s="105"/>
    </row>
    <row r="57" spans="2:14">
      <c r="B57" s="200"/>
      <c r="C57" s="445" t="s">
        <v>126</v>
      </c>
      <c r="D57" s="445"/>
      <c r="E57" s="445"/>
      <c r="F57" s="445"/>
      <c r="G57" s="445"/>
      <c r="H57" s="445"/>
      <c r="I57" s="445"/>
      <c r="J57" s="445"/>
      <c r="K57" s="445"/>
      <c r="L57" s="445"/>
      <c r="M57" s="445"/>
      <c r="N57" s="445"/>
    </row>
    <row r="58" spans="2:14">
      <c r="B58" s="200"/>
      <c r="C58" s="446" t="s">
        <v>127</v>
      </c>
      <c r="D58" s="446"/>
      <c r="E58" s="446"/>
      <c r="F58" s="446"/>
      <c r="G58" s="446"/>
      <c r="H58" s="446"/>
      <c r="I58" s="446"/>
      <c r="J58" s="446"/>
      <c r="K58" s="446"/>
      <c r="L58" s="446"/>
      <c r="M58" s="446"/>
      <c r="N58" s="446"/>
    </row>
    <row r="59" spans="2:14">
      <c r="B59" s="201"/>
      <c r="C59" s="445" t="s">
        <v>238</v>
      </c>
      <c r="D59" s="445"/>
      <c r="E59" s="445"/>
      <c r="F59" s="445"/>
      <c r="G59" s="445"/>
      <c r="H59" s="445"/>
      <c r="I59" s="445"/>
      <c r="J59" s="445"/>
      <c r="K59" s="445"/>
      <c r="L59" s="445"/>
      <c r="M59" s="445"/>
      <c r="N59" s="445"/>
    </row>
    <row r="60" spans="2:14">
      <c r="B60" s="201"/>
      <c r="C60" s="421" t="s">
        <v>282</v>
      </c>
      <c r="D60" s="421"/>
      <c r="E60" s="421"/>
      <c r="F60" s="421"/>
      <c r="G60" s="421"/>
      <c r="H60" s="421"/>
      <c r="I60" s="421"/>
      <c r="J60" s="421"/>
      <c r="K60" s="421"/>
      <c r="L60" s="421"/>
      <c r="M60" s="421"/>
      <c r="N60" s="421"/>
    </row>
    <row r="61" spans="2:14">
      <c r="B61" s="201"/>
      <c r="C61" s="393"/>
      <c r="D61" s="207"/>
      <c r="E61" s="207"/>
      <c r="F61" s="207"/>
      <c r="G61" s="207"/>
      <c r="H61" s="207"/>
      <c r="I61" s="207"/>
      <c r="J61" s="207"/>
      <c r="K61" s="207"/>
      <c r="L61" s="207"/>
      <c r="M61" s="207"/>
      <c r="N61" s="207"/>
    </row>
    <row r="62" spans="2:14" ht="33.75" customHeight="1">
      <c r="B62" s="201"/>
      <c r="C62" s="447" t="s">
        <v>129</v>
      </c>
      <c r="D62" s="447"/>
      <c r="E62" s="447"/>
      <c r="F62" s="447"/>
      <c r="G62" s="447"/>
      <c r="H62" s="447"/>
      <c r="I62" s="447"/>
      <c r="J62" s="447"/>
      <c r="K62" s="447"/>
      <c r="L62" s="447"/>
      <c r="M62" s="447"/>
      <c r="N62" s="447"/>
    </row>
  </sheetData>
  <sheetProtection formatCells="0" formatColumns="0" formatRows="0" sort="0" autoFilter="0" pivotTables="0"/>
  <mergeCells count="19">
    <mergeCell ref="C57:N57"/>
    <mergeCell ref="C58:N58"/>
    <mergeCell ref="C59:N59"/>
    <mergeCell ref="C62:N62"/>
    <mergeCell ref="B19:C19"/>
    <mergeCell ref="B23:C23"/>
    <mergeCell ref="B27:C27"/>
    <mergeCell ref="B31:C31"/>
    <mergeCell ref="B35:C35"/>
    <mergeCell ref="B39:C39"/>
    <mergeCell ref="B44:C44"/>
    <mergeCell ref="B48:C48"/>
    <mergeCell ref="B53:C53"/>
    <mergeCell ref="B15:C15"/>
    <mergeCell ref="B1:N1"/>
    <mergeCell ref="B2:N2"/>
    <mergeCell ref="B3:N3"/>
    <mergeCell ref="B7:C7"/>
    <mergeCell ref="B11:C11"/>
  </mergeCells>
  <pageMargins left="0.7" right="0.7" top="0.25" bottom="0.44" header="0.3" footer="0.3"/>
  <pageSetup scale="61" orientation="landscape" r:id="rId1"/>
  <headerFooter>
    <oddFooter>&amp;LActivision Blizzard, Inc.&amp;R&amp;P of &amp; 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3.42578125" style="75" customWidth="1"/>
    <col min="5" max="5" width="11" style="75" customWidth="1"/>
    <col min="6" max="6" width="8.5703125" style="75" customWidth="1"/>
    <col min="7" max="7" width="8.28515625" style="75" customWidth="1"/>
    <col min="8" max="8" width="12.140625" style="75" customWidth="1"/>
    <col min="9" max="9" width="9.8554687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442" t="s">
        <v>70</v>
      </c>
      <c r="C1" s="442"/>
      <c r="D1" s="442"/>
      <c r="E1" s="442"/>
      <c r="F1" s="442"/>
      <c r="G1" s="442"/>
      <c r="H1" s="442"/>
      <c r="I1" s="442"/>
      <c r="J1" s="442"/>
      <c r="K1" s="442"/>
      <c r="L1" s="442"/>
      <c r="M1" s="442"/>
      <c r="N1" s="442"/>
    </row>
    <row r="2" spans="2:14">
      <c r="B2" s="442" t="s">
        <v>242</v>
      </c>
      <c r="C2" s="442"/>
      <c r="D2" s="442"/>
      <c r="E2" s="442"/>
      <c r="F2" s="442"/>
      <c r="G2" s="442"/>
      <c r="H2" s="442"/>
      <c r="I2" s="442"/>
      <c r="J2" s="442"/>
      <c r="K2" s="442"/>
      <c r="L2" s="442"/>
      <c r="M2" s="442"/>
      <c r="N2" s="442"/>
    </row>
    <row r="3" spans="2:14">
      <c r="B3" s="442" t="s">
        <v>100</v>
      </c>
      <c r="C3" s="442"/>
      <c r="D3" s="442"/>
      <c r="E3" s="442"/>
      <c r="F3" s="442"/>
      <c r="G3" s="442"/>
      <c r="H3" s="442"/>
      <c r="I3" s="442"/>
      <c r="J3" s="442"/>
      <c r="K3" s="442"/>
      <c r="L3" s="442"/>
      <c r="M3" s="442"/>
      <c r="N3" s="442"/>
    </row>
    <row r="4" spans="2:14">
      <c r="B4" s="383"/>
      <c r="C4" s="383"/>
      <c r="D4" s="383"/>
      <c r="E4" s="383"/>
      <c r="F4" s="383"/>
      <c r="G4" s="383"/>
      <c r="H4" s="383"/>
      <c r="I4" s="383"/>
      <c r="J4" s="383"/>
      <c r="K4" s="383"/>
      <c r="L4" s="383"/>
      <c r="M4" s="383"/>
    </row>
    <row r="5" spans="2:14" ht="12.75" thickBot="1">
      <c r="B5" s="77"/>
      <c r="C5" s="78"/>
      <c r="D5" s="79"/>
      <c r="E5" s="78"/>
      <c r="F5" s="78"/>
      <c r="G5" s="79"/>
      <c r="H5" s="79"/>
      <c r="I5" s="79"/>
      <c r="J5" s="79"/>
      <c r="K5" s="80"/>
      <c r="L5" s="80"/>
      <c r="M5" s="80"/>
    </row>
    <row r="6" spans="2:14" ht="60">
      <c r="B6" s="171" t="s">
        <v>221</v>
      </c>
      <c r="C6" s="172"/>
      <c r="D6" s="173"/>
      <c r="E6" s="82" t="s">
        <v>101</v>
      </c>
      <c r="F6" s="82" t="s">
        <v>102</v>
      </c>
      <c r="G6" s="82" t="s">
        <v>214</v>
      </c>
      <c r="H6" s="82" t="s">
        <v>103</v>
      </c>
      <c r="I6" s="82" t="s">
        <v>104</v>
      </c>
      <c r="J6" s="82" t="s">
        <v>105</v>
      </c>
      <c r="K6" s="82" t="s">
        <v>106</v>
      </c>
      <c r="L6" s="82" t="s">
        <v>107</v>
      </c>
      <c r="M6" s="83" t="s">
        <v>108</v>
      </c>
    </row>
    <row r="7" spans="2:14">
      <c r="B7" s="440" t="s">
        <v>109</v>
      </c>
      <c r="C7" s="441"/>
      <c r="D7" s="176"/>
      <c r="E7" s="114">
        <v>1172</v>
      </c>
      <c r="F7" s="114">
        <v>257</v>
      </c>
      <c r="G7" s="114">
        <f>59+10</f>
        <v>69</v>
      </c>
      <c r="H7" s="114">
        <v>31</v>
      </c>
      <c r="I7" s="114">
        <v>7</v>
      </c>
      <c r="J7" s="114">
        <f>124-10</f>
        <v>114</v>
      </c>
      <c r="K7" s="114">
        <v>79</v>
      </c>
      <c r="L7" s="114">
        <v>102</v>
      </c>
      <c r="M7" s="177">
        <f>SUM(F7:L7)</f>
        <v>659</v>
      </c>
    </row>
    <row r="8" spans="2:14" ht="12" customHeight="1">
      <c r="B8" s="89"/>
      <c r="C8" s="90" t="s">
        <v>49</v>
      </c>
      <c r="D8" s="113" t="s">
        <v>111</v>
      </c>
      <c r="E8" s="120">
        <v>-585</v>
      </c>
      <c r="F8" s="120">
        <v>-119</v>
      </c>
      <c r="G8" s="126">
        <v>0</v>
      </c>
      <c r="H8" s="120">
        <v>-18</v>
      </c>
      <c r="I8" s="120">
        <v>-1</v>
      </c>
      <c r="J8" s="126">
        <v>0</v>
      </c>
      <c r="K8" s="126">
        <v>0</v>
      </c>
      <c r="L8" s="126">
        <v>0</v>
      </c>
      <c r="M8" s="178">
        <f>SUM(F8:L8)</f>
        <v>-138</v>
      </c>
    </row>
    <row r="9" spans="2:14">
      <c r="B9" s="89"/>
      <c r="C9" s="90" t="s">
        <v>50</v>
      </c>
      <c r="D9" s="113" t="s">
        <v>112</v>
      </c>
      <c r="E9" s="179">
        <v>0</v>
      </c>
      <c r="F9" s="126">
        <v>0</v>
      </c>
      <c r="G9" s="126">
        <v>0</v>
      </c>
      <c r="H9" s="126">
        <v>-3</v>
      </c>
      <c r="I9" s="126">
        <v>0</v>
      </c>
      <c r="J9" s="120">
        <v>-4</v>
      </c>
      <c r="K9" s="120">
        <v>-2</v>
      </c>
      <c r="L9" s="120">
        <v>-12</v>
      </c>
      <c r="M9" s="178">
        <f>SUM(F9:L9)</f>
        <v>-21</v>
      </c>
    </row>
    <row r="10" spans="2:14">
      <c r="B10" s="89"/>
      <c r="C10" s="90" t="s">
        <v>134</v>
      </c>
      <c r="D10" s="113" t="s">
        <v>113</v>
      </c>
      <c r="E10" s="126">
        <v>0</v>
      </c>
      <c r="F10" s="126">
        <v>0</v>
      </c>
      <c r="G10" s="126">
        <v>0</v>
      </c>
      <c r="H10" s="126">
        <v>0</v>
      </c>
      <c r="I10" s="120">
        <v>-3</v>
      </c>
      <c r="J10" s="126">
        <v>0</v>
      </c>
      <c r="K10" s="126">
        <v>0</v>
      </c>
      <c r="L10" s="126">
        <v>0</v>
      </c>
      <c r="M10" s="178">
        <f>SUM(F10:L10)</f>
        <v>-3</v>
      </c>
    </row>
    <row r="11" spans="2:14" ht="12.75" thickBot="1">
      <c r="B11" s="443" t="s">
        <v>115</v>
      </c>
      <c r="C11" s="444"/>
      <c r="D11" s="205"/>
      <c r="E11" s="132">
        <f t="shared" ref="E11:M11" si="0">SUM(E7:E10)</f>
        <v>587</v>
      </c>
      <c r="F11" s="132">
        <f t="shared" si="0"/>
        <v>138</v>
      </c>
      <c r="G11" s="132">
        <f t="shared" si="0"/>
        <v>69</v>
      </c>
      <c r="H11" s="132">
        <f t="shared" si="0"/>
        <v>10</v>
      </c>
      <c r="I11" s="132">
        <f t="shared" si="0"/>
        <v>3</v>
      </c>
      <c r="J11" s="132">
        <f t="shared" si="0"/>
        <v>110</v>
      </c>
      <c r="K11" s="132">
        <f t="shared" si="0"/>
        <v>77</v>
      </c>
      <c r="L11" s="132">
        <f t="shared" si="0"/>
        <v>90</v>
      </c>
      <c r="M11" s="183">
        <f t="shared" si="0"/>
        <v>497</v>
      </c>
    </row>
    <row r="12" spans="2:14" ht="5.25" customHeight="1" thickTop="1" thickBot="1">
      <c r="B12" s="99"/>
      <c r="C12" s="100"/>
      <c r="D12" s="101"/>
      <c r="E12" s="100"/>
      <c r="F12" s="102"/>
      <c r="G12" s="102"/>
      <c r="H12" s="102"/>
      <c r="I12" s="102"/>
      <c r="J12" s="102"/>
      <c r="K12" s="102"/>
      <c r="L12" s="102"/>
      <c r="M12" s="103"/>
    </row>
    <row r="13" spans="2:14" ht="12.75" customHeight="1" thickBot="1">
      <c r="B13" s="104"/>
      <c r="C13" s="105"/>
      <c r="D13" s="106"/>
      <c r="E13" s="105"/>
      <c r="F13" s="105"/>
      <c r="G13" s="105"/>
      <c r="H13" s="105"/>
      <c r="I13" s="105"/>
      <c r="J13" s="105"/>
      <c r="K13" s="105"/>
      <c r="L13" s="105"/>
      <c r="M13" s="105"/>
    </row>
    <row r="14" spans="2:14" ht="48">
      <c r="B14" s="190" t="str">
        <f>B6</f>
        <v>Three Months Ended March 31, 2012</v>
      </c>
      <c r="C14" s="191"/>
      <c r="D14" s="107"/>
      <c r="E14" s="108" t="s">
        <v>122</v>
      </c>
      <c r="F14" s="108" t="s">
        <v>123</v>
      </c>
      <c r="G14" s="301" t="s">
        <v>124</v>
      </c>
      <c r="H14" s="302" t="s">
        <v>125</v>
      </c>
      <c r="I14" s="110"/>
      <c r="J14" s="111"/>
      <c r="K14" s="112"/>
      <c r="L14" s="104"/>
      <c r="M14" s="104"/>
    </row>
    <row r="15" spans="2:14">
      <c r="B15" s="440" t="s">
        <v>109</v>
      </c>
      <c r="C15" s="441"/>
      <c r="D15" s="113"/>
      <c r="E15" s="114">
        <f>E7-M7</f>
        <v>513</v>
      </c>
      <c r="F15" s="208">
        <v>384</v>
      </c>
      <c r="G15" s="303">
        <v>0.34</v>
      </c>
      <c r="H15" s="304">
        <v>0.33</v>
      </c>
      <c r="I15" s="117"/>
      <c r="J15" s="118"/>
      <c r="K15" s="112"/>
      <c r="L15" s="104"/>
      <c r="M15" s="104"/>
      <c r="N15" s="104"/>
    </row>
    <row r="16" spans="2:14" ht="12" customHeight="1">
      <c r="B16" s="89"/>
      <c r="C16" s="90" t="s">
        <v>49</v>
      </c>
      <c r="D16" s="113" t="s">
        <v>111</v>
      </c>
      <c r="E16" s="119">
        <f>E8-M8</f>
        <v>-447</v>
      </c>
      <c r="F16" s="209">
        <v>-335</v>
      </c>
      <c r="G16" s="305">
        <v>-0.28999999999999998</v>
      </c>
      <c r="H16" s="306">
        <v>-0.28999999999999998</v>
      </c>
      <c r="I16" s="117"/>
      <c r="J16" s="117"/>
      <c r="K16" s="117"/>
      <c r="L16" s="117"/>
      <c r="M16" s="117"/>
      <c r="N16" s="124"/>
    </row>
    <row r="17" spans="2:14">
      <c r="B17" s="89"/>
      <c r="C17" s="90" t="s">
        <v>50</v>
      </c>
      <c r="D17" s="113" t="s">
        <v>112</v>
      </c>
      <c r="E17" s="119">
        <f>E9-M9</f>
        <v>21</v>
      </c>
      <c r="F17" s="209">
        <v>16</v>
      </c>
      <c r="G17" s="305">
        <v>0.01</v>
      </c>
      <c r="H17" s="306">
        <v>0.01</v>
      </c>
      <c r="I17" s="123"/>
      <c r="J17" s="123"/>
      <c r="K17" s="124"/>
      <c r="L17" s="124"/>
      <c r="M17" s="124"/>
      <c r="N17" s="124"/>
    </row>
    <row r="18" spans="2:14">
      <c r="B18" s="89"/>
      <c r="C18" s="90" t="s">
        <v>134</v>
      </c>
      <c r="D18" s="113" t="s">
        <v>113</v>
      </c>
      <c r="E18" s="119">
        <f>E10-M10</f>
        <v>3</v>
      </c>
      <c r="F18" s="209">
        <v>2</v>
      </c>
      <c r="G18" s="384">
        <v>0</v>
      </c>
      <c r="H18" s="306">
        <v>0</v>
      </c>
      <c r="I18" s="128"/>
      <c r="J18" s="128"/>
      <c r="K18" s="129"/>
      <c r="L18" s="124"/>
      <c r="M18" s="124"/>
      <c r="N18" s="124"/>
    </row>
    <row r="19" spans="2:14" ht="12.75" thickBot="1">
      <c r="B19" s="443" t="s">
        <v>115</v>
      </c>
      <c r="C19" s="444"/>
      <c r="D19" s="131"/>
      <c r="E19" s="132">
        <f>SUM(E15:E18)</f>
        <v>90</v>
      </c>
      <c r="F19" s="132">
        <f>SUM(F15:F18)</f>
        <v>67</v>
      </c>
      <c r="G19" s="310">
        <v>0.06</v>
      </c>
      <c r="H19" s="311">
        <v>0.06</v>
      </c>
      <c r="I19" s="135"/>
      <c r="J19" s="105"/>
      <c r="K19" s="105"/>
      <c r="L19" s="105"/>
      <c r="M19" s="105"/>
      <c r="N19" s="105"/>
    </row>
    <row r="20" spans="2:14" ht="5.25" customHeight="1" thickTop="1" thickBot="1">
      <c r="B20" s="136"/>
      <c r="C20" s="137"/>
      <c r="D20" s="138"/>
      <c r="E20" s="139"/>
      <c r="F20" s="139"/>
      <c r="G20" s="139"/>
      <c r="H20" s="140"/>
      <c r="I20" s="104"/>
      <c r="J20" s="105"/>
      <c r="K20" s="105"/>
      <c r="L20" s="105"/>
      <c r="M20" s="105"/>
      <c r="N20" s="105"/>
    </row>
    <row r="21" spans="2:14" ht="12.75" thickBot="1">
      <c r="B21" s="104"/>
      <c r="C21" s="104"/>
      <c r="D21" s="170"/>
      <c r="E21" s="104"/>
      <c r="F21" s="104"/>
      <c r="G21" s="104"/>
      <c r="H21" s="104"/>
      <c r="I21" s="104"/>
      <c r="J21" s="105"/>
      <c r="K21" s="105"/>
      <c r="L21" s="105"/>
      <c r="M21" s="105"/>
      <c r="N21" s="105"/>
    </row>
    <row r="22" spans="2:14" ht="60">
      <c r="B22" s="171" t="s">
        <v>224</v>
      </c>
      <c r="C22" s="172"/>
      <c r="D22" s="173"/>
      <c r="E22" s="82" t="s">
        <v>101</v>
      </c>
      <c r="F22" s="82" t="s">
        <v>102</v>
      </c>
      <c r="G22" s="82" t="s">
        <v>214</v>
      </c>
      <c r="H22" s="82" t="s">
        <v>103</v>
      </c>
      <c r="I22" s="82" t="s">
        <v>104</v>
      </c>
      <c r="J22" s="82" t="s">
        <v>105</v>
      </c>
      <c r="K22" s="82" t="s">
        <v>106</v>
      </c>
      <c r="L22" s="82" t="s">
        <v>107</v>
      </c>
      <c r="M22" s="83" t="s">
        <v>108</v>
      </c>
    </row>
    <row r="23" spans="2:14">
      <c r="B23" s="440" t="s">
        <v>109</v>
      </c>
      <c r="C23" s="441"/>
      <c r="D23" s="176"/>
      <c r="E23" s="114">
        <v>1075</v>
      </c>
      <c r="F23" s="114">
        <v>229</v>
      </c>
      <c r="G23" s="114">
        <f>64+7</f>
        <v>71</v>
      </c>
      <c r="H23" s="114">
        <v>57</v>
      </c>
      <c r="I23" s="114">
        <v>20</v>
      </c>
      <c r="J23" s="114">
        <f>152-7</f>
        <v>145</v>
      </c>
      <c r="K23" s="114">
        <v>136</v>
      </c>
      <c r="L23" s="114">
        <v>190</v>
      </c>
      <c r="M23" s="177">
        <f>SUM(F23:L23)</f>
        <v>848</v>
      </c>
    </row>
    <row r="24" spans="2:14" ht="12" customHeight="1">
      <c r="B24" s="89"/>
      <c r="C24" s="90" t="s">
        <v>49</v>
      </c>
      <c r="D24" s="113" t="s">
        <v>111</v>
      </c>
      <c r="E24" s="120">
        <v>-21</v>
      </c>
      <c r="F24" s="120">
        <v>-61</v>
      </c>
      <c r="G24" s="126">
        <v>0</v>
      </c>
      <c r="H24" s="126">
        <v>0</v>
      </c>
      <c r="I24" s="126">
        <v>0</v>
      </c>
      <c r="J24" s="126">
        <v>0</v>
      </c>
      <c r="K24" s="126">
        <v>0</v>
      </c>
      <c r="L24" s="126">
        <v>0</v>
      </c>
      <c r="M24" s="178">
        <f>SUM(F24:L24)</f>
        <v>-61</v>
      </c>
    </row>
    <row r="25" spans="2:14">
      <c r="B25" s="89"/>
      <c r="C25" s="90" t="s">
        <v>50</v>
      </c>
      <c r="D25" s="113" t="s">
        <v>112</v>
      </c>
      <c r="E25" s="179">
        <v>0</v>
      </c>
      <c r="F25" s="126">
        <v>0</v>
      </c>
      <c r="G25" s="126">
        <v>0</v>
      </c>
      <c r="H25" s="126">
        <v>-3</v>
      </c>
      <c r="I25" s="126">
        <v>0</v>
      </c>
      <c r="J25" s="120">
        <v>-5</v>
      </c>
      <c r="K25" s="120">
        <v>-1</v>
      </c>
      <c r="L25" s="120">
        <v>-22</v>
      </c>
      <c r="M25" s="178">
        <f>SUM(F25:L25)</f>
        <v>-31</v>
      </c>
    </row>
    <row r="26" spans="2:14">
      <c r="B26" s="89"/>
      <c r="C26" s="90" t="s">
        <v>134</v>
      </c>
      <c r="D26" s="113" t="s">
        <v>113</v>
      </c>
      <c r="E26" s="126">
        <v>0</v>
      </c>
      <c r="F26" s="126">
        <v>0</v>
      </c>
      <c r="G26" s="126">
        <v>0</v>
      </c>
      <c r="H26" s="126">
        <v>0</v>
      </c>
      <c r="I26" s="120">
        <v>-2</v>
      </c>
      <c r="J26" s="126">
        <v>0</v>
      </c>
      <c r="K26" s="126">
        <v>0</v>
      </c>
      <c r="L26" s="126">
        <v>0</v>
      </c>
      <c r="M26" s="178">
        <f>SUM(F26:L26)</f>
        <v>-2</v>
      </c>
    </row>
    <row r="27" spans="2:14" ht="12.75" thickBot="1">
      <c r="B27" s="443" t="s">
        <v>115</v>
      </c>
      <c r="C27" s="444"/>
      <c r="D27" s="205"/>
      <c r="E27" s="132">
        <f t="shared" ref="E27:M27" si="1">SUM(E23:E26)</f>
        <v>1054</v>
      </c>
      <c r="F27" s="132">
        <f t="shared" si="1"/>
        <v>168</v>
      </c>
      <c r="G27" s="132">
        <f t="shared" si="1"/>
        <v>71</v>
      </c>
      <c r="H27" s="132">
        <f t="shared" si="1"/>
        <v>54</v>
      </c>
      <c r="I27" s="132">
        <f t="shared" si="1"/>
        <v>18</v>
      </c>
      <c r="J27" s="132">
        <f t="shared" si="1"/>
        <v>140</v>
      </c>
      <c r="K27" s="132">
        <f t="shared" si="1"/>
        <v>135</v>
      </c>
      <c r="L27" s="132">
        <f t="shared" si="1"/>
        <v>168</v>
      </c>
      <c r="M27" s="183">
        <f t="shared" si="1"/>
        <v>754</v>
      </c>
    </row>
    <row r="28" spans="2:14" ht="5.25" customHeight="1" thickTop="1" thickBot="1">
      <c r="B28" s="99"/>
      <c r="C28" s="100"/>
      <c r="D28" s="101"/>
      <c r="E28" s="100"/>
      <c r="F28" s="102"/>
      <c r="G28" s="102"/>
      <c r="H28" s="102"/>
      <c r="I28" s="102"/>
      <c r="J28" s="102"/>
      <c r="K28" s="102"/>
      <c r="L28" s="102"/>
      <c r="M28" s="103"/>
    </row>
    <row r="29" spans="2:14" ht="12.75" customHeight="1" thickBot="1">
      <c r="B29" s="104"/>
      <c r="C29" s="105"/>
      <c r="D29" s="106"/>
      <c r="E29" s="105"/>
      <c r="F29" s="105"/>
      <c r="G29" s="105"/>
      <c r="H29" s="105"/>
      <c r="I29" s="105"/>
      <c r="J29" s="105"/>
      <c r="K29" s="105"/>
      <c r="L29" s="105"/>
      <c r="M29" s="105"/>
    </row>
    <row r="30" spans="2:14" ht="48">
      <c r="B30" s="190" t="str">
        <f>B22</f>
        <v>Three Months Ended June 30, 2012</v>
      </c>
      <c r="C30" s="191"/>
      <c r="D30" s="107"/>
      <c r="E30" s="108" t="s">
        <v>122</v>
      </c>
      <c r="F30" s="108" t="s">
        <v>123</v>
      </c>
      <c r="G30" s="301" t="s">
        <v>124</v>
      </c>
      <c r="H30" s="302" t="s">
        <v>125</v>
      </c>
      <c r="I30" s="110"/>
      <c r="J30" s="111"/>
      <c r="K30" s="112"/>
      <c r="L30" s="104"/>
      <c r="M30" s="104"/>
    </row>
    <row r="31" spans="2:14">
      <c r="B31" s="440" t="s">
        <v>109</v>
      </c>
      <c r="C31" s="441"/>
      <c r="D31" s="113"/>
      <c r="E31" s="114">
        <f>E23-M23</f>
        <v>227</v>
      </c>
      <c r="F31" s="208">
        <v>185</v>
      </c>
      <c r="G31" s="303">
        <v>0.16</v>
      </c>
      <c r="H31" s="304">
        <v>0.16</v>
      </c>
      <c r="I31" s="117"/>
      <c r="J31" s="118"/>
      <c r="K31" s="112"/>
      <c r="L31" s="104"/>
      <c r="M31" s="104"/>
      <c r="N31" s="104"/>
    </row>
    <row r="32" spans="2:14" ht="12" customHeight="1">
      <c r="B32" s="89"/>
      <c r="C32" s="90" t="s">
        <v>49</v>
      </c>
      <c r="D32" s="113" t="s">
        <v>111</v>
      </c>
      <c r="E32" s="119">
        <f>E24-M24</f>
        <v>40</v>
      </c>
      <c r="F32" s="209">
        <v>17</v>
      </c>
      <c r="G32" s="305">
        <v>0.02</v>
      </c>
      <c r="H32" s="306">
        <v>0.02</v>
      </c>
      <c r="I32" s="117"/>
      <c r="J32" s="117"/>
      <c r="K32" s="117"/>
      <c r="L32" s="117"/>
      <c r="M32" s="117"/>
      <c r="N32" s="124"/>
    </row>
    <row r="33" spans="2:14">
      <c r="B33" s="89"/>
      <c r="C33" s="90" t="s">
        <v>50</v>
      </c>
      <c r="D33" s="113" t="s">
        <v>112</v>
      </c>
      <c r="E33" s="119">
        <f>E25-M25</f>
        <v>31</v>
      </c>
      <c r="F33" s="209">
        <v>21</v>
      </c>
      <c r="G33" s="305">
        <v>0.02</v>
      </c>
      <c r="H33" s="387">
        <v>0.02</v>
      </c>
      <c r="I33" s="123"/>
      <c r="J33" s="123"/>
      <c r="K33" s="124"/>
      <c r="L33" s="124"/>
      <c r="M33" s="124"/>
      <c r="N33" s="124"/>
    </row>
    <row r="34" spans="2:14">
      <c r="B34" s="89"/>
      <c r="C34" s="90" t="s">
        <v>134</v>
      </c>
      <c r="D34" s="113" t="s">
        <v>113</v>
      </c>
      <c r="E34" s="119">
        <f>E26-M26</f>
        <v>2</v>
      </c>
      <c r="F34" s="209">
        <v>1</v>
      </c>
      <c r="G34" s="384">
        <v>0</v>
      </c>
      <c r="H34" s="306">
        <v>0</v>
      </c>
      <c r="I34" s="128"/>
      <c r="J34" s="128"/>
      <c r="K34" s="129"/>
      <c r="L34" s="124"/>
      <c r="M34" s="124"/>
      <c r="N34" s="124"/>
    </row>
    <row r="35" spans="2:14" ht="12.75" thickBot="1">
      <c r="B35" s="443" t="s">
        <v>115</v>
      </c>
      <c r="C35" s="444"/>
      <c r="D35" s="131"/>
      <c r="E35" s="132">
        <f>SUM(E31:E34)</f>
        <v>300</v>
      </c>
      <c r="F35" s="132">
        <f>SUM(F31:F34)</f>
        <v>224</v>
      </c>
      <c r="G35" s="310">
        <v>0.2</v>
      </c>
      <c r="H35" s="311">
        <v>0.2</v>
      </c>
      <c r="I35" s="135"/>
      <c r="J35" s="105"/>
      <c r="K35" s="105"/>
      <c r="L35" s="105"/>
      <c r="M35" s="105"/>
      <c r="N35" s="105"/>
    </row>
    <row r="36" spans="2:14" ht="5.25" customHeight="1" thickTop="1" thickBot="1">
      <c r="B36" s="136"/>
      <c r="C36" s="137"/>
      <c r="D36" s="138"/>
      <c r="E36" s="139"/>
      <c r="F36" s="139"/>
      <c r="G36" s="139"/>
      <c r="H36" s="140"/>
      <c r="I36" s="104"/>
      <c r="J36" s="105"/>
      <c r="K36" s="105"/>
      <c r="L36" s="105"/>
      <c r="M36" s="105"/>
      <c r="N36" s="105"/>
    </row>
    <row r="37" spans="2:14" ht="12.75" thickBot="1">
      <c r="B37" s="104"/>
      <c r="C37" s="104"/>
      <c r="D37" s="170"/>
      <c r="E37" s="104"/>
      <c r="F37" s="104"/>
      <c r="G37" s="104"/>
      <c r="H37" s="104"/>
      <c r="I37" s="104"/>
      <c r="J37" s="105"/>
      <c r="K37" s="105"/>
      <c r="L37" s="105"/>
      <c r="M37" s="105"/>
      <c r="N37" s="105"/>
    </row>
    <row r="38" spans="2:14" ht="60">
      <c r="B38" s="171" t="s">
        <v>226</v>
      </c>
      <c r="C38" s="172"/>
      <c r="D38" s="173"/>
      <c r="E38" s="82" t="s">
        <v>101</v>
      </c>
      <c r="F38" s="82" t="s">
        <v>102</v>
      </c>
      <c r="G38" s="82" t="s">
        <v>214</v>
      </c>
      <c r="H38" s="82" t="s">
        <v>103</v>
      </c>
      <c r="I38" s="82" t="s">
        <v>104</v>
      </c>
      <c r="J38" s="82" t="s">
        <v>105</v>
      </c>
      <c r="K38" s="82" t="s">
        <v>106</v>
      </c>
      <c r="L38" s="82" t="s">
        <v>107</v>
      </c>
      <c r="M38" s="83" t="s">
        <v>108</v>
      </c>
    </row>
    <row r="39" spans="2:14">
      <c r="B39" s="440" t="s">
        <v>109</v>
      </c>
      <c r="C39" s="441"/>
      <c r="D39" s="176"/>
      <c r="E39" s="114">
        <v>841</v>
      </c>
      <c r="F39" s="114">
        <v>146</v>
      </c>
      <c r="G39" s="114">
        <f>56+6</f>
        <v>62</v>
      </c>
      <c r="H39" s="114">
        <v>19</v>
      </c>
      <c r="I39" s="114">
        <v>10</v>
      </c>
      <c r="J39" s="114">
        <f>131-6</f>
        <v>125</v>
      </c>
      <c r="K39" s="114">
        <v>131</v>
      </c>
      <c r="L39" s="114">
        <v>121</v>
      </c>
      <c r="M39" s="177">
        <f>SUM(F39:L39)</f>
        <v>614</v>
      </c>
    </row>
    <row r="40" spans="2:14" ht="12" customHeight="1">
      <c r="B40" s="89"/>
      <c r="C40" s="90" t="s">
        <v>49</v>
      </c>
      <c r="D40" s="113" t="s">
        <v>111</v>
      </c>
      <c r="E40" s="120">
        <v>-90</v>
      </c>
      <c r="F40" s="120">
        <v>-5</v>
      </c>
      <c r="G40" s="126">
        <v>0</v>
      </c>
      <c r="H40" s="126">
        <v>23</v>
      </c>
      <c r="I40" s="126">
        <v>2</v>
      </c>
      <c r="J40" s="126">
        <v>0</v>
      </c>
      <c r="K40" s="126">
        <v>0</v>
      </c>
      <c r="L40" s="126">
        <v>0</v>
      </c>
      <c r="M40" s="178">
        <f>SUM(F40:L40)</f>
        <v>20</v>
      </c>
    </row>
    <row r="41" spans="2:14">
      <c r="B41" s="89"/>
      <c r="C41" s="90" t="s">
        <v>50</v>
      </c>
      <c r="D41" s="113" t="s">
        <v>112</v>
      </c>
      <c r="E41" s="179">
        <v>0</v>
      </c>
      <c r="F41" s="126">
        <v>0</v>
      </c>
      <c r="G41" s="126">
        <v>0</v>
      </c>
      <c r="H41" s="126">
        <v>-1</v>
      </c>
      <c r="I41" s="126">
        <v>0</v>
      </c>
      <c r="J41" s="120">
        <v>-5</v>
      </c>
      <c r="K41" s="120">
        <v>-2</v>
      </c>
      <c r="L41" s="120">
        <v>-26</v>
      </c>
      <c r="M41" s="178">
        <f>SUM(F41:L41)</f>
        <v>-34</v>
      </c>
    </row>
    <row r="42" spans="2:14">
      <c r="B42" s="89"/>
      <c r="C42" s="90" t="s">
        <v>134</v>
      </c>
      <c r="D42" s="113" t="s">
        <v>113</v>
      </c>
      <c r="E42" s="126">
        <v>0</v>
      </c>
      <c r="F42" s="126">
        <v>0</v>
      </c>
      <c r="G42" s="126">
        <v>0</v>
      </c>
      <c r="H42" s="126">
        <v>0</v>
      </c>
      <c r="I42" s="120">
        <v>-3</v>
      </c>
      <c r="J42" s="126">
        <v>0</v>
      </c>
      <c r="K42" s="126">
        <v>0</v>
      </c>
      <c r="L42" s="126">
        <v>0</v>
      </c>
      <c r="M42" s="178">
        <f>SUM(F42:L42)</f>
        <v>-3</v>
      </c>
    </row>
    <row r="43" spans="2:14" ht="12.75" thickBot="1">
      <c r="B43" s="443" t="s">
        <v>115</v>
      </c>
      <c r="C43" s="444"/>
      <c r="D43" s="205"/>
      <c r="E43" s="132">
        <f t="shared" ref="E43:M43" si="2">SUM(E39:E42)</f>
        <v>751</v>
      </c>
      <c r="F43" s="132">
        <f t="shared" si="2"/>
        <v>141</v>
      </c>
      <c r="G43" s="132">
        <f t="shared" si="2"/>
        <v>62</v>
      </c>
      <c r="H43" s="132">
        <f t="shared" si="2"/>
        <v>41</v>
      </c>
      <c r="I43" s="132">
        <f t="shared" si="2"/>
        <v>9</v>
      </c>
      <c r="J43" s="132">
        <f t="shared" si="2"/>
        <v>120</v>
      </c>
      <c r="K43" s="132">
        <f t="shared" si="2"/>
        <v>129</v>
      </c>
      <c r="L43" s="132">
        <f t="shared" si="2"/>
        <v>95</v>
      </c>
      <c r="M43" s="183">
        <f t="shared" si="2"/>
        <v>597</v>
      </c>
    </row>
    <row r="44" spans="2:14" ht="5.25" customHeight="1" thickTop="1" thickBot="1">
      <c r="B44" s="99"/>
      <c r="C44" s="100"/>
      <c r="D44" s="101"/>
      <c r="E44" s="100"/>
      <c r="F44" s="102"/>
      <c r="G44" s="102"/>
      <c r="H44" s="102"/>
      <c r="I44" s="102"/>
      <c r="J44" s="102"/>
      <c r="K44" s="102"/>
      <c r="L44" s="102"/>
      <c r="M44" s="103"/>
    </row>
    <row r="45" spans="2:14" ht="12.75" customHeight="1" thickBot="1">
      <c r="B45" s="104"/>
      <c r="C45" s="105"/>
      <c r="D45" s="106"/>
      <c r="E45" s="105"/>
      <c r="F45" s="105"/>
      <c r="G45" s="105"/>
      <c r="H45" s="105"/>
      <c r="I45" s="105"/>
      <c r="J45" s="105"/>
      <c r="K45" s="105"/>
      <c r="L45" s="105"/>
      <c r="M45" s="105"/>
    </row>
    <row r="46" spans="2:14" ht="48">
      <c r="B46" s="190" t="str">
        <f>B38</f>
        <v>Three Months Ended September 30, 2012</v>
      </c>
      <c r="C46" s="191"/>
      <c r="D46" s="107"/>
      <c r="E46" s="108" t="s">
        <v>122</v>
      </c>
      <c r="F46" s="108" t="s">
        <v>123</v>
      </c>
      <c r="G46" s="301" t="s">
        <v>124</v>
      </c>
      <c r="H46" s="302" t="s">
        <v>125</v>
      </c>
      <c r="I46" s="110"/>
      <c r="J46" s="111"/>
      <c r="K46" s="112"/>
      <c r="L46" s="104"/>
      <c r="M46" s="104"/>
    </row>
    <row r="47" spans="2:14">
      <c r="B47" s="440" t="s">
        <v>109</v>
      </c>
      <c r="C47" s="441"/>
      <c r="D47" s="113"/>
      <c r="E47" s="114">
        <f>E39-M39</f>
        <v>227</v>
      </c>
      <c r="F47" s="208">
        <v>226</v>
      </c>
      <c r="G47" s="303">
        <v>0.2</v>
      </c>
      <c r="H47" s="304">
        <v>0.2</v>
      </c>
      <c r="I47" s="117"/>
      <c r="J47" s="118"/>
      <c r="K47" s="112"/>
      <c r="L47" s="104"/>
      <c r="M47" s="104"/>
      <c r="N47" s="104"/>
    </row>
    <row r="48" spans="2:14" ht="12" customHeight="1">
      <c r="B48" s="89"/>
      <c r="C48" s="90" t="s">
        <v>49</v>
      </c>
      <c r="D48" s="113" t="s">
        <v>111</v>
      </c>
      <c r="E48" s="119">
        <f>E40-M40</f>
        <v>-110</v>
      </c>
      <c r="F48" s="209">
        <v>-83</v>
      </c>
      <c r="G48" s="305">
        <v>-7.0000000000000007E-2</v>
      </c>
      <c r="H48" s="306">
        <v>-7.0000000000000007E-2</v>
      </c>
      <c r="I48" s="117"/>
      <c r="J48" s="117"/>
      <c r="K48" s="117"/>
      <c r="L48" s="117"/>
      <c r="M48" s="117"/>
      <c r="N48" s="124"/>
    </row>
    <row r="49" spans="2:14">
      <c r="B49" s="89"/>
      <c r="C49" s="90" t="s">
        <v>50</v>
      </c>
      <c r="D49" s="113" t="s">
        <v>112</v>
      </c>
      <c r="E49" s="119">
        <f>E41-M41</f>
        <v>34</v>
      </c>
      <c r="F49" s="209">
        <v>23</v>
      </c>
      <c r="G49" s="305">
        <v>0.02</v>
      </c>
      <c r="H49" s="387">
        <v>0.02</v>
      </c>
      <c r="I49" s="123"/>
      <c r="J49" s="123"/>
      <c r="K49" s="124"/>
      <c r="L49" s="124"/>
      <c r="M49" s="124"/>
      <c r="N49" s="124"/>
    </row>
    <row r="50" spans="2:14">
      <c r="B50" s="89"/>
      <c r="C50" s="90" t="s">
        <v>134</v>
      </c>
      <c r="D50" s="113" t="s">
        <v>113</v>
      </c>
      <c r="E50" s="119">
        <f>E42-M42</f>
        <v>3</v>
      </c>
      <c r="F50" s="209">
        <v>2</v>
      </c>
      <c r="G50" s="384">
        <v>0</v>
      </c>
      <c r="H50" s="306">
        <v>0</v>
      </c>
      <c r="I50" s="128"/>
      <c r="J50" s="128"/>
      <c r="K50" s="129"/>
      <c r="L50" s="124"/>
      <c r="M50" s="124"/>
      <c r="N50" s="124"/>
    </row>
    <row r="51" spans="2:14" ht="12.75" thickBot="1">
      <c r="B51" s="443" t="s">
        <v>115</v>
      </c>
      <c r="C51" s="444"/>
      <c r="D51" s="131"/>
      <c r="E51" s="132">
        <f>SUM(E47:E50)</f>
        <v>154</v>
      </c>
      <c r="F51" s="132">
        <f>SUM(F47:F50)</f>
        <v>168</v>
      </c>
      <c r="G51" s="310">
        <v>0.15</v>
      </c>
      <c r="H51" s="311">
        <v>0.15</v>
      </c>
      <c r="I51" s="135"/>
      <c r="J51" s="105"/>
      <c r="K51" s="105"/>
      <c r="L51" s="105"/>
      <c r="M51" s="105"/>
      <c r="N51" s="105"/>
    </row>
    <row r="52" spans="2:14" ht="5.25" customHeight="1" thickTop="1" thickBot="1">
      <c r="B52" s="136"/>
      <c r="C52" s="137"/>
      <c r="D52" s="138"/>
      <c r="E52" s="139"/>
      <c r="F52" s="139"/>
      <c r="G52" s="139"/>
      <c r="H52" s="140"/>
      <c r="I52" s="104"/>
      <c r="J52" s="105"/>
      <c r="K52" s="105"/>
      <c r="L52" s="105"/>
      <c r="M52" s="105"/>
      <c r="N52" s="105"/>
    </row>
    <row r="53" spans="2:14" ht="12.75" thickBot="1">
      <c r="B53" s="104"/>
      <c r="C53" s="104"/>
      <c r="D53" s="170"/>
      <c r="E53" s="104"/>
      <c r="F53" s="104"/>
      <c r="G53" s="104"/>
      <c r="H53" s="104"/>
      <c r="I53" s="104"/>
      <c r="J53" s="105"/>
      <c r="K53" s="105"/>
      <c r="L53" s="105"/>
      <c r="M53" s="105"/>
      <c r="N53" s="105"/>
    </row>
    <row r="54" spans="2:14" ht="60">
      <c r="B54" s="171" t="s">
        <v>231</v>
      </c>
      <c r="C54" s="172"/>
      <c r="D54" s="173"/>
      <c r="E54" s="82" t="s">
        <v>101</v>
      </c>
      <c r="F54" s="82" t="s">
        <v>102</v>
      </c>
      <c r="G54" s="82" t="s">
        <v>214</v>
      </c>
      <c r="H54" s="82" t="s">
        <v>103</v>
      </c>
      <c r="I54" s="82" t="s">
        <v>104</v>
      </c>
      <c r="J54" s="82" t="s">
        <v>105</v>
      </c>
      <c r="K54" s="82" t="s">
        <v>106</v>
      </c>
      <c r="L54" s="82" t="s">
        <v>107</v>
      </c>
      <c r="M54" s="83" t="s">
        <v>108</v>
      </c>
    </row>
    <row r="55" spans="2:14">
      <c r="B55" s="440" t="s">
        <v>109</v>
      </c>
      <c r="C55" s="441"/>
      <c r="D55" s="176"/>
      <c r="E55" s="114">
        <v>1768</v>
      </c>
      <c r="F55" s="114">
        <v>483</v>
      </c>
      <c r="G55" s="114">
        <v>60</v>
      </c>
      <c r="H55" s="114">
        <v>87</v>
      </c>
      <c r="I55" s="114">
        <v>52</v>
      </c>
      <c r="J55" s="114">
        <v>222</v>
      </c>
      <c r="K55" s="114">
        <v>232</v>
      </c>
      <c r="L55" s="114">
        <v>148</v>
      </c>
      <c r="M55" s="177">
        <f>SUM(F55:L55)</f>
        <v>1284</v>
      </c>
    </row>
    <row r="56" spans="2:14" ht="12" customHeight="1">
      <c r="B56" s="89"/>
      <c r="C56" s="90" t="s">
        <v>49</v>
      </c>
      <c r="D56" s="113" t="s">
        <v>111</v>
      </c>
      <c r="E56" s="120">
        <v>827</v>
      </c>
      <c r="F56" s="120">
        <v>186</v>
      </c>
      <c r="G56" s="126">
        <v>0</v>
      </c>
      <c r="H56" s="126">
        <v>31</v>
      </c>
      <c r="I56" s="126">
        <v>3</v>
      </c>
      <c r="J56" s="126">
        <v>0</v>
      </c>
      <c r="K56" s="126">
        <v>0</v>
      </c>
      <c r="L56" s="126">
        <v>0</v>
      </c>
      <c r="M56" s="178">
        <f>SUM(F56:L56)</f>
        <v>220</v>
      </c>
    </row>
    <row r="57" spans="2:14">
      <c r="B57" s="89"/>
      <c r="C57" s="90" t="s">
        <v>50</v>
      </c>
      <c r="D57" s="113" t="s">
        <v>112</v>
      </c>
      <c r="E57" s="179">
        <v>0</v>
      </c>
      <c r="F57" s="126">
        <v>0</v>
      </c>
      <c r="G57" s="126">
        <v>0</v>
      </c>
      <c r="H57" s="126">
        <v>-3</v>
      </c>
      <c r="I57" s="126">
        <v>0</v>
      </c>
      <c r="J57" s="120">
        <v>-6</v>
      </c>
      <c r="K57" s="120">
        <v>-2</v>
      </c>
      <c r="L57" s="120">
        <v>-29</v>
      </c>
      <c r="M57" s="178">
        <f>SUM(F57:L57)</f>
        <v>-40</v>
      </c>
    </row>
    <row r="58" spans="2:14">
      <c r="B58" s="89"/>
      <c r="C58" s="90" t="s">
        <v>134</v>
      </c>
      <c r="D58" s="113" t="s">
        <v>113</v>
      </c>
      <c r="E58" s="126">
        <v>0</v>
      </c>
      <c r="F58" s="126">
        <v>0</v>
      </c>
      <c r="G58" s="126">
        <v>0</v>
      </c>
      <c r="H58" s="126">
        <v>0</v>
      </c>
      <c r="I58" s="120">
        <v>-23</v>
      </c>
      <c r="J58" s="126">
        <v>0</v>
      </c>
      <c r="K58" s="126">
        <v>0</v>
      </c>
      <c r="L58" s="126">
        <v>0</v>
      </c>
      <c r="M58" s="178">
        <f>SUM(F58:L58)</f>
        <v>-23</v>
      </c>
    </row>
    <row r="59" spans="2:14" ht="12.75" thickBot="1">
      <c r="B59" s="443" t="s">
        <v>115</v>
      </c>
      <c r="C59" s="444"/>
      <c r="D59" s="205"/>
      <c r="E59" s="132">
        <f t="shared" ref="E59:M59" si="3">SUM(E55:E58)</f>
        <v>2595</v>
      </c>
      <c r="F59" s="132">
        <f t="shared" si="3"/>
        <v>669</v>
      </c>
      <c r="G59" s="132">
        <f t="shared" si="3"/>
        <v>60</v>
      </c>
      <c r="H59" s="132">
        <f t="shared" si="3"/>
        <v>115</v>
      </c>
      <c r="I59" s="132">
        <f t="shared" si="3"/>
        <v>32</v>
      </c>
      <c r="J59" s="132">
        <f t="shared" si="3"/>
        <v>216</v>
      </c>
      <c r="K59" s="132">
        <f t="shared" si="3"/>
        <v>230</v>
      </c>
      <c r="L59" s="132">
        <f t="shared" si="3"/>
        <v>119</v>
      </c>
      <c r="M59" s="183">
        <f t="shared" si="3"/>
        <v>1441</v>
      </c>
    </row>
    <row r="60" spans="2:14" ht="5.25" customHeight="1" thickTop="1" thickBot="1">
      <c r="B60" s="99"/>
      <c r="C60" s="100"/>
      <c r="D60" s="101"/>
      <c r="E60" s="100"/>
      <c r="F60" s="102"/>
      <c r="G60" s="102"/>
      <c r="H60" s="102"/>
      <c r="I60" s="102"/>
      <c r="J60" s="102"/>
      <c r="K60" s="102"/>
      <c r="L60" s="102"/>
      <c r="M60" s="103"/>
    </row>
    <row r="61" spans="2:14" ht="12.75" customHeight="1" thickBot="1">
      <c r="B61" s="104"/>
      <c r="C61" s="105"/>
      <c r="D61" s="106"/>
      <c r="E61" s="105"/>
      <c r="F61" s="105"/>
      <c r="G61" s="105"/>
      <c r="H61" s="105"/>
      <c r="I61" s="105"/>
      <c r="J61" s="105"/>
      <c r="K61" s="105"/>
      <c r="L61" s="105"/>
      <c r="M61" s="105"/>
    </row>
    <row r="62" spans="2:14" ht="48">
      <c r="B62" s="190" t="str">
        <f>B54</f>
        <v>Three Months Ended December 31, 2012</v>
      </c>
      <c r="C62" s="191"/>
      <c r="D62" s="107"/>
      <c r="E62" s="108" t="s">
        <v>122</v>
      </c>
      <c r="F62" s="108" t="s">
        <v>123</v>
      </c>
      <c r="G62" s="301" t="s">
        <v>124</v>
      </c>
      <c r="H62" s="302" t="s">
        <v>125</v>
      </c>
      <c r="I62" s="110"/>
      <c r="J62" s="111"/>
      <c r="K62" s="112"/>
      <c r="L62" s="104"/>
      <c r="M62" s="104"/>
    </row>
    <row r="63" spans="2:14">
      <c r="B63" s="440" t="s">
        <v>109</v>
      </c>
      <c r="C63" s="441"/>
      <c r="D63" s="113"/>
      <c r="E63" s="114">
        <f>E55-M55</f>
        <v>484</v>
      </c>
      <c r="F63" s="208">
        <v>354</v>
      </c>
      <c r="G63" s="303">
        <v>0.31</v>
      </c>
      <c r="H63" s="304">
        <v>0.31</v>
      </c>
      <c r="I63" s="117"/>
      <c r="J63" s="118"/>
      <c r="K63" s="112"/>
      <c r="L63" s="104"/>
      <c r="M63" s="104"/>
      <c r="N63" s="104"/>
    </row>
    <row r="64" spans="2:14" ht="12" customHeight="1">
      <c r="B64" s="89"/>
      <c r="C64" s="90" t="s">
        <v>49</v>
      </c>
      <c r="D64" s="113" t="s">
        <v>111</v>
      </c>
      <c r="E64" s="119">
        <f>E56-M56</f>
        <v>607</v>
      </c>
      <c r="F64" s="209">
        <v>485</v>
      </c>
      <c r="G64" s="305">
        <v>0.43</v>
      </c>
      <c r="H64" s="306">
        <v>0.42</v>
      </c>
      <c r="I64" s="117"/>
      <c r="J64" s="117"/>
      <c r="K64" s="117"/>
      <c r="L64" s="117"/>
      <c r="M64" s="117"/>
      <c r="N64" s="124"/>
    </row>
    <row r="65" spans="2:14">
      <c r="B65" s="89"/>
      <c r="C65" s="90" t="s">
        <v>50</v>
      </c>
      <c r="D65" s="113" t="s">
        <v>112</v>
      </c>
      <c r="E65" s="119">
        <f>E57-M57</f>
        <v>40</v>
      </c>
      <c r="F65" s="209">
        <v>38</v>
      </c>
      <c r="G65" s="305">
        <v>0.03</v>
      </c>
      <c r="H65" s="387">
        <v>0.03</v>
      </c>
      <c r="I65" s="123"/>
      <c r="J65" s="123"/>
      <c r="K65" s="124"/>
      <c r="L65" s="124"/>
      <c r="M65" s="124"/>
      <c r="N65" s="124"/>
    </row>
    <row r="66" spans="2:14">
      <c r="B66" s="89"/>
      <c r="C66" s="90" t="s">
        <v>134</v>
      </c>
      <c r="D66" s="113" t="s">
        <v>113</v>
      </c>
      <c r="E66" s="119">
        <f>E58-M58</f>
        <v>23</v>
      </c>
      <c r="F66" s="209">
        <v>14</v>
      </c>
      <c r="G66" s="384">
        <v>0.01</v>
      </c>
      <c r="H66" s="306">
        <v>0.01</v>
      </c>
      <c r="I66" s="128"/>
      <c r="J66" s="128"/>
      <c r="K66" s="129"/>
      <c r="L66" s="124"/>
      <c r="M66" s="124"/>
      <c r="N66" s="124"/>
    </row>
    <row r="67" spans="2:14" ht="12.75" thickBot="1">
      <c r="B67" s="443" t="s">
        <v>115</v>
      </c>
      <c r="C67" s="444"/>
      <c r="D67" s="131"/>
      <c r="E67" s="132">
        <f>SUM(E63:E66)</f>
        <v>1154</v>
      </c>
      <c r="F67" s="132">
        <f>SUM(F63:F66)</f>
        <v>891</v>
      </c>
      <c r="G67" s="310">
        <v>0.78</v>
      </c>
      <c r="H67" s="311">
        <v>0.78</v>
      </c>
      <c r="I67" s="135"/>
      <c r="J67" s="105"/>
      <c r="K67" s="105"/>
      <c r="L67" s="105"/>
      <c r="M67" s="105"/>
      <c r="N67" s="105"/>
    </row>
    <row r="68" spans="2:14" ht="5.25" customHeight="1" thickTop="1" thickBot="1">
      <c r="B68" s="136"/>
      <c r="C68" s="137"/>
      <c r="D68" s="138"/>
      <c r="E68" s="139"/>
      <c r="F68" s="139"/>
      <c r="G68" s="139"/>
      <c r="H68" s="140"/>
      <c r="I68" s="104"/>
      <c r="J68" s="105"/>
      <c r="K68" s="105"/>
      <c r="L68" s="105"/>
      <c r="M68" s="105"/>
      <c r="N68" s="105"/>
    </row>
    <row r="69" spans="2:14">
      <c r="B69" s="104"/>
      <c r="C69" s="104"/>
      <c r="D69" s="170"/>
      <c r="E69" s="104"/>
      <c r="F69" s="104"/>
      <c r="G69" s="104"/>
      <c r="H69" s="104"/>
      <c r="I69" s="104"/>
      <c r="J69" s="105"/>
      <c r="K69" s="105"/>
      <c r="L69" s="105"/>
      <c r="M69" s="105"/>
      <c r="N69" s="105"/>
    </row>
    <row r="70" spans="2:14">
      <c r="B70" s="200"/>
      <c r="C70" s="445" t="s">
        <v>126</v>
      </c>
      <c r="D70" s="445"/>
      <c r="E70" s="445"/>
      <c r="F70" s="445"/>
      <c r="G70" s="445"/>
      <c r="H70" s="445"/>
      <c r="I70" s="445"/>
      <c r="J70" s="445"/>
      <c r="K70" s="445"/>
      <c r="L70" s="445"/>
      <c r="M70" s="445"/>
      <c r="N70" s="445"/>
    </row>
    <row r="71" spans="2:14">
      <c r="B71" s="200"/>
      <c r="C71" s="446" t="s">
        <v>127</v>
      </c>
      <c r="D71" s="446"/>
      <c r="E71" s="446"/>
      <c r="F71" s="446"/>
      <c r="G71" s="446"/>
      <c r="H71" s="446"/>
      <c r="I71" s="446"/>
      <c r="J71" s="446"/>
      <c r="K71" s="446"/>
      <c r="L71" s="446"/>
      <c r="M71" s="446"/>
      <c r="N71" s="446"/>
    </row>
    <row r="72" spans="2:14">
      <c r="B72" s="201"/>
      <c r="C72" s="445" t="s">
        <v>238</v>
      </c>
      <c r="D72" s="445"/>
      <c r="E72" s="445"/>
      <c r="F72" s="445"/>
      <c r="G72" s="445"/>
      <c r="H72" s="445"/>
      <c r="I72" s="445"/>
      <c r="J72" s="445"/>
      <c r="K72" s="445"/>
      <c r="L72" s="445"/>
      <c r="M72" s="445"/>
      <c r="N72" s="445"/>
    </row>
    <row r="73" spans="2:14">
      <c r="B73" s="201"/>
      <c r="C73" s="382"/>
      <c r="D73" s="207"/>
      <c r="E73" s="207"/>
      <c r="F73" s="207"/>
      <c r="G73" s="207"/>
      <c r="H73" s="207"/>
      <c r="I73" s="207"/>
      <c r="J73" s="207"/>
      <c r="K73" s="207"/>
      <c r="L73" s="207"/>
      <c r="M73" s="207"/>
      <c r="N73" s="207"/>
    </row>
    <row r="74" spans="2:14" ht="33.75" customHeight="1">
      <c r="B74" s="201"/>
      <c r="C74" s="447" t="s">
        <v>129</v>
      </c>
      <c r="D74" s="447"/>
      <c r="E74" s="447"/>
      <c r="F74" s="447"/>
      <c r="G74" s="447"/>
      <c r="H74" s="447"/>
      <c r="I74" s="447"/>
      <c r="J74" s="447"/>
      <c r="K74" s="447"/>
      <c r="L74" s="447"/>
      <c r="M74" s="447"/>
      <c r="N74" s="447"/>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8" orientation="landscape" r:id="rId1"/>
  <headerFooter>
    <oddFooter>&amp;LActivision Blizzard, Inc.&amp;R&amp;P of &amp; 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75" customWidth="1"/>
    <col min="2" max="2" width="1.42578125" style="75" customWidth="1"/>
    <col min="3" max="3" width="58.28515625" style="75" customWidth="1"/>
    <col min="4" max="4" width="2.85546875" style="75" customWidth="1"/>
    <col min="5" max="5" width="11" style="75" customWidth="1"/>
    <col min="6" max="6" width="8.5703125" style="75" customWidth="1"/>
    <col min="7" max="7" width="8.28515625" style="75" customWidth="1"/>
    <col min="8" max="8" width="12.140625" style="75" customWidth="1"/>
    <col min="9" max="9" width="9.85546875" style="75" customWidth="1"/>
    <col min="10" max="10" width="11.5703125" style="75" bestFit="1" customWidth="1"/>
    <col min="11" max="11" width="9.140625" style="75" bestFit="1" customWidth="1"/>
    <col min="12" max="12" width="12.7109375" style="75" bestFit="1" customWidth="1"/>
    <col min="13" max="13" width="12.140625" style="75" bestFit="1" customWidth="1"/>
    <col min="14" max="14" width="12.7109375" style="75" customWidth="1"/>
    <col min="15" max="16384" width="9.140625" style="75"/>
  </cols>
  <sheetData>
    <row r="1" spans="2:14">
      <c r="B1" s="442" t="s">
        <v>70</v>
      </c>
      <c r="C1" s="442"/>
      <c r="D1" s="442"/>
      <c r="E1" s="442"/>
      <c r="F1" s="442"/>
      <c r="G1" s="442"/>
      <c r="H1" s="442"/>
      <c r="I1" s="442"/>
      <c r="J1" s="442"/>
      <c r="K1" s="442"/>
      <c r="L1" s="442"/>
      <c r="M1" s="442"/>
      <c r="N1" s="442"/>
    </row>
    <row r="2" spans="2:14">
      <c r="B2" s="442" t="s">
        <v>242</v>
      </c>
      <c r="C2" s="442"/>
      <c r="D2" s="442"/>
      <c r="E2" s="442"/>
      <c r="F2" s="442"/>
      <c r="G2" s="442"/>
      <c r="H2" s="442"/>
      <c r="I2" s="442"/>
      <c r="J2" s="442"/>
      <c r="K2" s="442"/>
      <c r="L2" s="442"/>
      <c r="M2" s="442"/>
      <c r="N2" s="442"/>
    </row>
    <row r="3" spans="2:14">
      <c r="B3" s="442" t="s">
        <v>100</v>
      </c>
      <c r="C3" s="442"/>
      <c r="D3" s="442"/>
      <c r="E3" s="442"/>
      <c r="F3" s="442"/>
      <c r="G3" s="442"/>
      <c r="H3" s="442"/>
      <c r="I3" s="442"/>
      <c r="J3" s="442"/>
      <c r="K3" s="442"/>
      <c r="L3" s="442"/>
      <c r="M3" s="442"/>
      <c r="N3" s="442"/>
    </row>
    <row r="4" spans="2:14">
      <c r="B4" s="76"/>
      <c r="C4" s="76"/>
      <c r="D4" s="76"/>
      <c r="E4" s="76"/>
      <c r="F4" s="76"/>
      <c r="G4" s="76"/>
      <c r="H4" s="76"/>
      <c r="I4" s="76"/>
      <c r="J4" s="76"/>
      <c r="K4" s="76"/>
      <c r="L4" s="76"/>
      <c r="M4" s="76"/>
      <c r="N4" s="76"/>
    </row>
    <row r="5" spans="2:14" ht="12.75" thickBot="1">
      <c r="B5" s="77"/>
      <c r="C5" s="78"/>
      <c r="D5" s="79"/>
      <c r="E5" s="78"/>
      <c r="F5" s="78"/>
      <c r="G5" s="79"/>
      <c r="H5" s="79"/>
      <c r="I5" s="79"/>
      <c r="J5" s="79"/>
      <c r="K5" s="80"/>
      <c r="L5" s="80"/>
      <c r="M5" s="80"/>
      <c r="N5" s="80"/>
    </row>
    <row r="6" spans="2:14" ht="60">
      <c r="B6" s="171" t="s">
        <v>38</v>
      </c>
      <c r="C6" s="172"/>
      <c r="D6" s="173"/>
      <c r="E6" s="82" t="s">
        <v>101</v>
      </c>
      <c r="F6" s="82" t="s">
        <v>102</v>
      </c>
      <c r="G6" s="82" t="s">
        <v>214</v>
      </c>
      <c r="H6" s="82" t="s">
        <v>103</v>
      </c>
      <c r="I6" s="82" t="s">
        <v>104</v>
      </c>
      <c r="J6" s="82" t="s">
        <v>105</v>
      </c>
      <c r="K6" s="82" t="s">
        <v>106</v>
      </c>
      <c r="L6" s="82" t="s">
        <v>107</v>
      </c>
      <c r="M6" s="82" t="s">
        <v>45</v>
      </c>
      <c r="N6" s="83" t="s">
        <v>108</v>
      </c>
    </row>
    <row r="7" spans="2:14">
      <c r="B7" s="440" t="s">
        <v>109</v>
      </c>
      <c r="C7" s="441"/>
      <c r="D7" s="176"/>
      <c r="E7" s="114">
        <v>1449</v>
      </c>
      <c r="F7" s="114">
        <v>299</v>
      </c>
      <c r="G7" s="114">
        <f>63+3</f>
        <v>66</v>
      </c>
      <c r="H7" s="114">
        <v>61</v>
      </c>
      <c r="I7" s="114">
        <v>29</v>
      </c>
      <c r="J7" s="114">
        <f>142-3</f>
        <v>139</v>
      </c>
      <c r="K7" s="114">
        <f>64-4</f>
        <v>60</v>
      </c>
      <c r="L7" s="114">
        <f>98+4</f>
        <v>102</v>
      </c>
      <c r="M7" s="114">
        <v>19</v>
      </c>
      <c r="N7" s="177">
        <f>SUM(F7:M7)</f>
        <v>775</v>
      </c>
    </row>
    <row r="8" spans="2:14" ht="12" customHeight="1">
      <c r="B8" s="89"/>
      <c r="C8" s="90" t="s">
        <v>49</v>
      </c>
      <c r="D8" s="113" t="s">
        <v>111</v>
      </c>
      <c r="E8" s="120">
        <v>-694</v>
      </c>
      <c r="F8" s="120">
        <v>-132</v>
      </c>
      <c r="G8" s="126">
        <v>0</v>
      </c>
      <c r="H8" s="120">
        <v>-42</v>
      </c>
      <c r="I8" s="120">
        <v>-14</v>
      </c>
      <c r="J8" s="126">
        <v>0</v>
      </c>
      <c r="K8" s="126">
        <v>0</v>
      </c>
      <c r="L8" s="126">
        <v>0</v>
      </c>
      <c r="M8" s="126">
        <v>0</v>
      </c>
      <c r="N8" s="178">
        <f>SUM(F8:M8)</f>
        <v>-188</v>
      </c>
    </row>
    <row r="9" spans="2:14">
      <c r="B9" s="89"/>
      <c r="C9" s="90" t="s">
        <v>50</v>
      </c>
      <c r="D9" s="113" t="s">
        <v>112</v>
      </c>
      <c r="E9" s="179">
        <v>0</v>
      </c>
      <c r="F9" s="126">
        <v>0</v>
      </c>
      <c r="G9" s="126">
        <v>0</v>
      </c>
      <c r="H9" s="120">
        <v>-4</v>
      </c>
      <c r="I9" s="126">
        <v>0</v>
      </c>
      <c r="J9" s="120">
        <v>-6</v>
      </c>
      <c r="K9" s="120">
        <v>-1</v>
      </c>
      <c r="L9" s="120">
        <v>-12</v>
      </c>
      <c r="M9" s="126">
        <v>0</v>
      </c>
      <c r="N9" s="178">
        <f>SUM(F9:M9)</f>
        <v>-23</v>
      </c>
    </row>
    <row r="10" spans="2:14">
      <c r="B10" s="89"/>
      <c r="C10" s="90" t="s">
        <v>51</v>
      </c>
      <c r="D10" s="113" t="s">
        <v>113</v>
      </c>
      <c r="E10" s="126">
        <v>0</v>
      </c>
      <c r="F10" s="126">
        <v>0</v>
      </c>
      <c r="G10" s="126">
        <v>0</v>
      </c>
      <c r="H10" s="126">
        <v>0</v>
      </c>
      <c r="I10" s="126">
        <v>0</v>
      </c>
      <c r="J10" s="126">
        <v>0</v>
      </c>
      <c r="K10" s="126">
        <v>0</v>
      </c>
      <c r="L10" s="126">
        <v>0</v>
      </c>
      <c r="M10" s="126">
        <v>-19</v>
      </c>
      <c r="N10" s="178">
        <f>SUM(F10:M10)</f>
        <v>-19</v>
      </c>
    </row>
    <row r="11" spans="2:14">
      <c r="B11" s="89"/>
      <c r="C11" s="90" t="s">
        <v>134</v>
      </c>
      <c r="D11" s="113" t="s">
        <v>121</v>
      </c>
      <c r="E11" s="126">
        <v>0</v>
      </c>
      <c r="F11" s="126">
        <v>0</v>
      </c>
      <c r="G11" s="126">
        <v>0</v>
      </c>
      <c r="H11" s="126">
        <v>0</v>
      </c>
      <c r="I11" s="120">
        <v>-8</v>
      </c>
      <c r="J11" s="126">
        <v>0</v>
      </c>
      <c r="K11" s="126">
        <v>0</v>
      </c>
      <c r="L11" s="126">
        <v>0</v>
      </c>
      <c r="M11" s="126">
        <v>0</v>
      </c>
      <c r="N11" s="178">
        <f>SUM(F11:M11)</f>
        <v>-8</v>
      </c>
    </row>
    <row r="12" spans="2:14" ht="12.75" thickBot="1">
      <c r="B12" s="443" t="s">
        <v>115</v>
      </c>
      <c r="C12" s="444"/>
      <c r="D12" s="205"/>
      <c r="E12" s="132">
        <f t="shared" ref="E12:N12" si="0">SUM(E7:E11)</f>
        <v>755</v>
      </c>
      <c r="F12" s="132">
        <f t="shared" si="0"/>
        <v>167</v>
      </c>
      <c r="G12" s="132">
        <f t="shared" si="0"/>
        <v>66</v>
      </c>
      <c r="H12" s="132">
        <f t="shared" si="0"/>
        <v>15</v>
      </c>
      <c r="I12" s="132">
        <f t="shared" si="0"/>
        <v>7</v>
      </c>
      <c r="J12" s="132">
        <f t="shared" si="0"/>
        <v>133</v>
      </c>
      <c r="K12" s="132">
        <f t="shared" si="0"/>
        <v>59</v>
      </c>
      <c r="L12" s="132">
        <f t="shared" si="0"/>
        <v>90</v>
      </c>
      <c r="M12" s="132">
        <f t="shared" si="0"/>
        <v>0</v>
      </c>
      <c r="N12" s="183">
        <f t="shared" si="0"/>
        <v>537</v>
      </c>
    </row>
    <row r="13" spans="2:14" ht="5.25" customHeight="1" thickTop="1" thickBot="1">
      <c r="B13" s="99"/>
      <c r="C13" s="100"/>
      <c r="D13" s="101"/>
      <c r="E13" s="100"/>
      <c r="F13" s="102"/>
      <c r="G13" s="102"/>
      <c r="H13" s="102"/>
      <c r="I13" s="102"/>
      <c r="J13" s="102"/>
      <c r="K13" s="102"/>
      <c r="L13" s="102"/>
      <c r="M13" s="102"/>
      <c r="N13" s="103"/>
    </row>
    <row r="14" spans="2:14" ht="12.75" thickBot="1">
      <c r="B14" s="104"/>
      <c r="C14" s="105"/>
      <c r="D14" s="106"/>
      <c r="E14" s="105"/>
      <c r="F14" s="105"/>
      <c r="G14" s="105"/>
      <c r="H14" s="105"/>
      <c r="I14" s="105"/>
      <c r="J14" s="105"/>
      <c r="K14" s="105"/>
      <c r="L14" s="105"/>
      <c r="M14" s="105"/>
      <c r="N14" s="105"/>
    </row>
    <row r="15" spans="2:14" ht="60">
      <c r="B15" s="190" t="str">
        <f>B6</f>
        <v>Three Months Ended March 31, 2011</v>
      </c>
      <c r="C15" s="191"/>
      <c r="D15" s="107"/>
      <c r="E15" s="108" t="s">
        <v>122</v>
      </c>
      <c r="F15" s="108" t="s">
        <v>123</v>
      </c>
      <c r="G15" s="108" t="s">
        <v>118</v>
      </c>
      <c r="H15" s="109" t="s">
        <v>119</v>
      </c>
      <c r="I15" s="110"/>
      <c r="J15" s="111"/>
      <c r="K15" s="112"/>
      <c r="L15" s="104"/>
      <c r="M15" s="104"/>
      <c r="N15" s="104"/>
    </row>
    <row r="16" spans="2:14">
      <c r="B16" s="440" t="s">
        <v>109</v>
      </c>
      <c r="C16" s="441"/>
      <c r="D16" s="113"/>
      <c r="E16" s="114">
        <f>E7-N7</f>
        <v>674</v>
      </c>
      <c r="F16" s="114">
        <v>503</v>
      </c>
      <c r="G16" s="115">
        <v>0.42</v>
      </c>
      <c r="H16" s="116">
        <v>0.42</v>
      </c>
      <c r="I16" s="117"/>
      <c r="J16" s="118"/>
      <c r="K16" s="112"/>
      <c r="L16" s="104"/>
      <c r="M16" s="104"/>
      <c r="N16" s="104"/>
    </row>
    <row r="17" spans="2:14" ht="12" customHeight="1">
      <c r="B17" s="89"/>
      <c r="C17" s="90" t="s">
        <v>49</v>
      </c>
      <c r="D17" s="113" t="s">
        <v>111</v>
      </c>
      <c r="E17" s="119">
        <f>E8-N8</f>
        <v>-506</v>
      </c>
      <c r="F17" s="120">
        <v>-381</v>
      </c>
      <c r="G17" s="121">
        <v>-0.32</v>
      </c>
      <c r="H17" s="122">
        <v>-0.32</v>
      </c>
      <c r="I17" s="117"/>
      <c r="J17" s="117"/>
      <c r="K17" s="117"/>
      <c r="L17" s="117"/>
      <c r="M17" s="117"/>
      <c r="N17" s="124"/>
    </row>
    <row r="18" spans="2:14">
      <c r="B18" s="89"/>
      <c r="C18" s="90" t="s">
        <v>50</v>
      </c>
      <c r="D18" s="113" t="s">
        <v>112</v>
      </c>
      <c r="E18" s="119">
        <f>E9-N9</f>
        <v>23</v>
      </c>
      <c r="F18" s="120">
        <v>15</v>
      </c>
      <c r="G18" s="121">
        <v>0.01</v>
      </c>
      <c r="H18" s="122">
        <v>0.01</v>
      </c>
      <c r="I18" s="123"/>
      <c r="J18" s="123"/>
      <c r="K18" s="124"/>
      <c r="L18" s="124"/>
      <c r="M18" s="124"/>
      <c r="N18" s="124"/>
    </row>
    <row r="19" spans="2:14">
      <c r="B19" s="89"/>
      <c r="C19" s="90" t="s">
        <v>51</v>
      </c>
      <c r="D19" s="113" t="s">
        <v>113</v>
      </c>
      <c r="E19" s="119">
        <f>E10-N10</f>
        <v>19</v>
      </c>
      <c r="F19" s="120">
        <v>14</v>
      </c>
      <c r="G19" s="121">
        <v>0.01</v>
      </c>
      <c r="H19" s="122">
        <v>0.01</v>
      </c>
      <c r="I19" s="128"/>
      <c r="J19" s="128"/>
      <c r="K19" s="129"/>
      <c r="L19" s="124"/>
      <c r="M19" s="124"/>
      <c r="N19" s="124"/>
    </row>
    <row r="20" spans="2:14">
      <c r="B20" s="89"/>
      <c r="C20" s="90" t="s">
        <v>134</v>
      </c>
      <c r="D20" s="113" t="s">
        <v>121</v>
      </c>
      <c r="E20" s="119">
        <f>E11-N11</f>
        <v>8</v>
      </c>
      <c r="F20" s="120">
        <v>5</v>
      </c>
      <c r="G20" s="206">
        <v>0</v>
      </c>
      <c r="H20" s="127">
        <v>0</v>
      </c>
      <c r="I20" s="128"/>
      <c r="J20" s="128"/>
      <c r="K20" s="129"/>
      <c r="L20" s="124"/>
      <c r="M20" s="124"/>
      <c r="N20" s="124"/>
    </row>
    <row r="21" spans="2:14" ht="12.75" thickBot="1">
      <c r="B21" s="443" t="s">
        <v>115</v>
      </c>
      <c r="C21" s="444"/>
      <c r="D21" s="131"/>
      <c r="E21" s="132">
        <f>SUM(E16:E20)</f>
        <v>218</v>
      </c>
      <c r="F21" s="132">
        <f>SUM(F16:F20)</f>
        <v>156</v>
      </c>
      <c r="G21" s="133">
        <v>0.13</v>
      </c>
      <c r="H21" s="134">
        <v>0.13</v>
      </c>
      <c r="I21" s="135"/>
      <c r="J21" s="105"/>
      <c r="K21" s="105"/>
      <c r="L21" s="105"/>
      <c r="M21" s="105"/>
      <c r="N21" s="105"/>
    </row>
    <row r="22" spans="2:14" ht="5.25" customHeight="1" thickTop="1" thickBot="1">
      <c r="B22" s="136"/>
      <c r="C22" s="137"/>
      <c r="D22" s="138"/>
      <c r="E22" s="139"/>
      <c r="F22" s="139"/>
      <c r="G22" s="139"/>
      <c r="H22" s="140"/>
      <c r="I22" s="104"/>
      <c r="J22" s="105"/>
      <c r="K22" s="105"/>
      <c r="L22" s="105"/>
      <c r="M22" s="105"/>
      <c r="N22" s="105"/>
    </row>
    <row r="23" spans="2:14" ht="12.75" thickBot="1">
      <c r="B23" s="104"/>
      <c r="C23" s="104"/>
      <c r="D23" s="170"/>
      <c r="E23" s="104"/>
      <c r="F23" s="104"/>
      <c r="G23" s="104"/>
      <c r="H23" s="104"/>
      <c r="I23" s="104"/>
      <c r="J23" s="105"/>
      <c r="K23" s="105"/>
      <c r="L23" s="105"/>
      <c r="M23" s="105"/>
      <c r="N23" s="105"/>
    </row>
    <row r="24" spans="2:14" ht="60">
      <c r="B24" s="171" t="s">
        <v>189</v>
      </c>
      <c r="C24" s="172"/>
      <c r="D24" s="173"/>
      <c r="E24" s="82" t="s">
        <v>101</v>
      </c>
      <c r="F24" s="82" t="s">
        <v>102</v>
      </c>
      <c r="G24" s="82" t="s">
        <v>214</v>
      </c>
      <c r="H24" s="82" t="s">
        <v>103</v>
      </c>
      <c r="I24" s="82" t="s">
        <v>104</v>
      </c>
      <c r="J24" s="82" t="s">
        <v>105</v>
      </c>
      <c r="K24" s="82" t="s">
        <v>106</v>
      </c>
      <c r="L24" s="82" t="s">
        <v>107</v>
      </c>
      <c r="M24" s="82" t="s">
        <v>45</v>
      </c>
      <c r="N24" s="83" t="s">
        <v>108</v>
      </c>
    </row>
    <row r="25" spans="2:14">
      <c r="B25" s="440" t="s">
        <v>109</v>
      </c>
      <c r="C25" s="441"/>
      <c r="D25" s="176"/>
      <c r="E25" s="114">
        <v>1146</v>
      </c>
      <c r="F25" s="114">
        <v>213</v>
      </c>
      <c r="G25" s="114">
        <f>59+3</f>
        <v>62</v>
      </c>
      <c r="H25" s="114">
        <v>47</v>
      </c>
      <c r="I25" s="114">
        <v>24</v>
      </c>
      <c r="J25" s="114">
        <f>116-3</f>
        <v>113</v>
      </c>
      <c r="K25" s="114">
        <v>90</v>
      </c>
      <c r="L25" s="114">
        <v>127</v>
      </c>
      <c r="M25" s="114">
        <v>3</v>
      </c>
      <c r="N25" s="177">
        <f>SUM(F25:M25)</f>
        <v>679</v>
      </c>
    </row>
    <row r="26" spans="2:14" ht="12" customHeight="1">
      <c r="B26" s="89"/>
      <c r="C26" s="90" t="s">
        <v>49</v>
      </c>
      <c r="D26" s="113" t="s">
        <v>111</v>
      </c>
      <c r="E26" s="120">
        <v>-447</v>
      </c>
      <c r="F26" s="120">
        <v>-78</v>
      </c>
      <c r="G26" s="126">
        <v>0</v>
      </c>
      <c r="H26" s="120">
        <v>-32</v>
      </c>
      <c r="I26" s="120">
        <v>-5</v>
      </c>
      <c r="J26" s="126">
        <v>0</v>
      </c>
      <c r="K26" s="126">
        <v>0</v>
      </c>
      <c r="L26" s="126">
        <v>0</v>
      </c>
      <c r="M26" s="126">
        <v>0</v>
      </c>
      <c r="N26" s="178">
        <f>SUM(F26:M26)</f>
        <v>-115</v>
      </c>
    </row>
    <row r="27" spans="2:14">
      <c r="B27" s="89"/>
      <c r="C27" s="90" t="s">
        <v>50</v>
      </c>
      <c r="D27" s="113" t="s">
        <v>112</v>
      </c>
      <c r="E27" s="179">
        <v>0</v>
      </c>
      <c r="F27" s="126">
        <v>0</v>
      </c>
      <c r="G27" s="126">
        <v>0</v>
      </c>
      <c r="H27" s="120">
        <v>-3</v>
      </c>
      <c r="I27" s="126">
        <v>0</v>
      </c>
      <c r="J27" s="120">
        <v>-5</v>
      </c>
      <c r="K27" s="120">
        <v>-1</v>
      </c>
      <c r="L27" s="120">
        <v>-11</v>
      </c>
      <c r="M27" s="126">
        <v>0</v>
      </c>
      <c r="N27" s="178">
        <f>SUM(F27:M27)</f>
        <v>-20</v>
      </c>
    </row>
    <row r="28" spans="2:14">
      <c r="B28" s="89"/>
      <c r="C28" s="90" t="s">
        <v>51</v>
      </c>
      <c r="D28" s="113" t="s">
        <v>113</v>
      </c>
      <c r="E28" s="126">
        <v>0</v>
      </c>
      <c r="F28" s="126">
        <v>0</v>
      </c>
      <c r="G28" s="126">
        <v>0</v>
      </c>
      <c r="H28" s="126">
        <v>0</v>
      </c>
      <c r="I28" s="126">
        <v>0</v>
      </c>
      <c r="J28" s="126">
        <v>0</v>
      </c>
      <c r="K28" s="126">
        <v>0</v>
      </c>
      <c r="L28" s="126">
        <v>0</v>
      </c>
      <c r="M28" s="126">
        <v>-3</v>
      </c>
      <c r="N28" s="178">
        <f>SUM(F28:M28)</f>
        <v>-3</v>
      </c>
    </row>
    <row r="29" spans="2:14">
      <c r="B29" s="89"/>
      <c r="C29" s="90" t="s">
        <v>134</v>
      </c>
      <c r="D29" s="113" t="s">
        <v>121</v>
      </c>
      <c r="E29" s="126">
        <v>0</v>
      </c>
      <c r="F29" s="126">
        <v>0</v>
      </c>
      <c r="G29" s="126">
        <v>0</v>
      </c>
      <c r="H29" s="126">
        <v>0</v>
      </c>
      <c r="I29" s="120">
        <v>-7</v>
      </c>
      <c r="J29" s="126">
        <v>0</v>
      </c>
      <c r="K29" s="126">
        <v>0</v>
      </c>
      <c r="L29" s="126">
        <v>0</v>
      </c>
      <c r="M29" s="126">
        <v>0</v>
      </c>
      <c r="N29" s="178">
        <f>SUM(F29:M29)</f>
        <v>-7</v>
      </c>
    </row>
    <row r="30" spans="2:14" ht="12.75" thickBot="1">
      <c r="B30" s="443" t="s">
        <v>115</v>
      </c>
      <c r="C30" s="444"/>
      <c r="D30" s="205"/>
      <c r="E30" s="132">
        <f t="shared" ref="E30:N30" si="1">SUM(E25:E29)</f>
        <v>699</v>
      </c>
      <c r="F30" s="132">
        <f t="shared" si="1"/>
        <v>135</v>
      </c>
      <c r="G30" s="132">
        <f t="shared" si="1"/>
        <v>62</v>
      </c>
      <c r="H30" s="132">
        <f t="shared" si="1"/>
        <v>12</v>
      </c>
      <c r="I30" s="132">
        <f t="shared" si="1"/>
        <v>12</v>
      </c>
      <c r="J30" s="132">
        <f t="shared" si="1"/>
        <v>108</v>
      </c>
      <c r="K30" s="132">
        <f t="shared" si="1"/>
        <v>89</v>
      </c>
      <c r="L30" s="132">
        <f t="shared" si="1"/>
        <v>116</v>
      </c>
      <c r="M30" s="132">
        <f t="shared" si="1"/>
        <v>0</v>
      </c>
      <c r="N30" s="183">
        <f t="shared" si="1"/>
        <v>534</v>
      </c>
    </row>
    <row r="31" spans="2:14" ht="5.25" customHeight="1" thickTop="1" thickBot="1">
      <c r="B31" s="99"/>
      <c r="C31" s="100"/>
      <c r="D31" s="101"/>
      <c r="E31" s="100"/>
      <c r="F31" s="102"/>
      <c r="G31" s="102"/>
      <c r="H31" s="102"/>
      <c r="I31" s="102"/>
      <c r="J31" s="102"/>
      <c r="K31" s="102"/>
      <c r="L31" s="102"/>
      <c r="M31" s="102"/>
      <c r="N31" s="103"/>
    </row>
    <row r="32" spans="2:14" ht="12.75" customHeight="1" thickBot="1">
      <c r="B32" s="104"/>
      <c r="C32" s="105"/>
      <c r="D32" s="106"/>
      <c r="E32" s="105"/>
      <c r="F32" s="105"/>
      <c r="G32" s="105"/>
      <c r="H32" s="105"/>
      <c r="I32" s="105"/>
      <c r="J32" s="105"/>
      <c r="K32" s="105"/>
      <c r="L32" s="105"/>
      <c r="M32" s="105"/>
      <c r="N32" s="105"/>
    </row>
    <row r="33" spans="2:14" ht="60">
      <c r="B33" s="190" t="str">
        <f>B24</f>
        <v>Three Months Ended June 30, 2011</v>
      </c>
      <c r="C33" s="191"/>
      <c r="D33" s="107"/>
      <c r="E33" s="108" t="s">
        <v>122</v>
      </c>
      <c r="F33" s="108" t="s">
        <v>123</v>
      </c>
      <c r="G33" s="301" t="s">
        <v>118</v>
      </c>
      <c r="H33" s="302" t="s">
        <v>119</v>
      </c>
      <c r="I33" s="110"/>
      <c r="J33" s="111"/>
      <c r="K33" s="112"/>
      <c r="L33" s="104"/>
      <c r="M33" s="104"/>
      <c r="N33" s="104"/>
    </row>
    <row r="34" spans="2:14">
      <c r="B34" s="440" t="s">
        <v>109</v>
      </c>
      <c r="C34" s="441"/>
      <c r="D34" s="113"/>
      <c r="E34" s="114">
        <f>E25-N25</f>
        <v>467</v>
      </c>
      <c r="F34" s="208">
        <v>335</v>
      </c>
      <c r="G34" s="303">
        <v>0.28999999999999998</v>
      </c>
      <c r="H34" s="304">
        <v>0.28999999999999998</v>
      </c>
      <c r="I34" s="117"/>
      <c r="J34" s="118"/>
      <c r="K34" s="112"/>
      <c r="L34" s="104"/>
      <c r="M34" s="104"/>
      <c r="N34" s="104"/>
    </row>
    <row r="35" spans="2:14" ht="12" customHeight="1">
      <c r="B35" s="89"/>
      <c r="C35" s="90" t="s">
        <v>49</v>
      </c>
      <c r="D35" s="113" t="s">
        <v>111</v>
      </c>
      <c r="E35" s="119">
        <v>-332</v>
      </c>
      <c r="F35" s="209">
        <v>-238</v>
      </c>
      <c r="G35" s="305">
        <v>-0.21</v>
      </c>
      <c r="H35" s="306">
        <v>-0.2</v>
      </c>
      <c r="I35" s="117"/>
      <c r="J35" s="117"/>
      <c r="K35" s="117"/>
      <c r="L35" s="117"/>
      <c r="M35" s="117"/>
      <c r="N35" s="124"/>
    </row>
    <row r="36" spans="2:14">
      <c r="B36" s="89"/>
      <c r="C36" s="90" t="s">
        <v>50</v>
      </c>
      <c r="D36" s="113" t="s">
        <v>112</v>
      </c>
      <c r="E36" s="119">
        <f>E27-N27</f>
        <v>20</v>
      </c>
      <c r="F36" s="209">
        <v>15</v>
      </c>
      <c r="G36" s="305">
        <v>0.01</v>
      </c>
      <c r="H36" s="306">
        <v>0.01</v>
      </c>
      <c r="I36" s="123"/>
      <c r="J36" s="123"/>
      <c r="K36" s="124"/>
      <c r="L36" s="124"/>
      <c r="M36" s="124"/>
      <c r="N36" s="124"/>
    </row>
    <row r="37" spans="2:14">
      <c r="B37" s="89"/>
      <c r="C37" s="90" t="s">
        <v>51</v>
      </c>
      <c r="D37" s="113" t="s">
        <v>113</v>
      </c>
      <c r="E37" s="119">
        <f>E28-N28</f>
        <v>3</v>
      </c>
      <c r="F37" s="209">
        <v>2</v>
      </c>
      <c r="G37" s="307">
        <v>0</v>
      </c>
      <c r="H37" s="308">
        <v>0</v>
      </c>
      <c r="I37" s="128"/>
      <c r="J37" s="128"/>
      <c r="K37" s="129"/>
      <c r="L37" s="124"/>
      <c r="M37" s="124"/>
      <c r="N37" s="124"/>
    </row>
    <row r="38" spans="2:14">
      <c r="B38" s="89"/>
      <c r="C38" s="90" t="s">
        <v>134</v>
      </c>
      <c r="D38" s="113" t="s">
        <v>121</v>
      </c>
      <c r="E38" s="119">
        <f>E29-N29</f>
        <v>7</v>
      </c>
      <c r="F38" s="209">
        <v>4</v>
      </c>
      <c r="G38" s="309">
        <v>0</v>
      </c>
      <c r="H38" s="308">
        <v>0</v>
      </c>
      <c r="I38" s="128"/>
      <c r="J38" s="128"/>
      <c r="K38" s="129"/>
      <c r="L38" s="124"/>
      <c r="M38" s="124"/>
      <c r="N38" s="124"/>
    </row>
    <row r="39" spans="2:14" ht="12.75" thickBot="1">
      <c r="B39" s="443" t="s">
        <v>115</v>
      </c>
      <c r="C39" s="444"/>
      <c r="D39" s="131"/>
      <c r="E39" s="132">
        <f>SUM(E34:E38)</f>
        <v>165</v>
      </c>
      <c r="F39" s="132">
        <f>SUM(F34:F38)</f>
        <v>118</v>
      </c>
      <c r="G39" s="310">
        <v>0.1</v>
      </c>
      <c r="H39" s="311">
        <v>0.1</v>
      </c>
      <c r="I39" s="135"/>
      <c r="J39" s="105"/>
      <c r="K39" s="105"/>
      <c r="L39" s="105"/>
      <c r="M39" s="105"/>
      <c r="N39" s="105"/>
    </row>
    <row r="40" spans="2:14" ht="5.25" customHeight="1" thickTop="1" thickBot="1">
      <c r="B40" s="136"/>
      <c r="C40" s="137"/>
      <c r="D40" s="138"/>
      <c r="E40" s="139"/>
      <c r="F40" s="139"/>
      <c r="G40" s="139"/>
      <c r="H40" s="140"/>
      <c r="I40" s="104"/>
      <c r="J40" s="105"/>
      <c r="K40" s="105"/>
      <c r="L40" s="105"/>
      <c r="M40" s="105"/>
      <c r="N40" s="105"/>
    </row>
    <row r="41" spans="2:14" ht="12.75" customHeight="1" thickBot="1">
      <c r="B41" s="104"/>
      <c r="C41" s="104"/>
      <c r="D41" s="170"/>
      <c r="E41" s="104"/>
      <c r="F41" s="104"/>
      <c r="G41" s="104"/>
      <c r="H41" s="104"/>
      <c r="I41" s="104"/>
      <c r="J41" s="105"/>
      <c r="K41" s="105"/>
      <c r="L41" s="105"/>
      <c r="M41" s="105"/>
      <c r="N41" s="105"/>
    </row>
    <row r="42" spans="2:14" ht="60">
      <c r="B42" s="171" t="s">
        <v>201</v>
      </c>
      <c r="C42" s="172"/>
      <c r="D42" s="173"/>
      <c r="E42" s="82" t="s">
        <v>101</v>
      </c>
      <c r="F42" s="82" t="s">
        <v>102</v>
      </c>
      <c r="G42" s="82" t="s">
        <v>214</v>
      </c>
      <c r="H42" s="82" t="s">
        <v>103</v>
      </c>
      <c r="I42" s="82" t="s">
        <v>104</v>
      </c>
      <c r="J42" s="82" t="s">
        <v>105</v>
      </c>
      <c r="K42" s="82" t="s">
        <v>106</v>
      </c>
      <c r="L42" s="82" t="s">
        <v>107</v>
      </c>
      <c r="M42" s="82" t="s">
        <v>45</v>
      </c>
      <c r="N42" s="83" t="s">
        <v>108</v>
      </c>
    </row>
    <row r="43" spans="2:14">
      <c r="B43" s="440" t="s">
        <v>109</v>
      </c>
      <c r="C43" s="441"/>
      <c r="D43" s="176"/>
      <c r="E43" s="114">
        <v>754</v>
      </c>
      <c r="F43" s="114">
        <v>138</v>
      </c>
      <c r="G43" s="114">
        <f>59+4</f>
        <v>63</v>
      </c>
      <c r="H43" s="114">
        <v>24</v>
      </c>
      <c r="I43" s="114">
        <v>16</v>
      </c>
      <c r="J43" s="114">
        <f>133-4</f>
        <v>129</v>
      </c>
      <c r="K43" s="114">
        <v>115</v>
      </c>
      <c r="L43" s="114">
        <v>104</v>
      </c>
      <c r="M43" s="114">
        <v>3</v>
      </c>
      <c r="N43" s="177">
        <f>SUM(F43:M43)</f>
        <v>592</v>
      </c>
    </row>
    <row r="44" spans="2:14" ht="12" customHeight="1">
      <c r="B44" s="89"/>
      <c r="C44" s="90" t="s">
        <v>49</v>
      </c>
      <c r="D44" s="113" t="s">
        <v>111</v>
      </c>
      <c r="E44" s="120">
        <v>-127</v>
      </c>
      <c r="F44" s="120">
        <v>-10</v>
      </c>
      <c r="G44" s="126">
        <v>0</v>
      </c>
      <c r="H44" s="120">
        <v>-10</v>
      </c>
      <c r="I44" s="120">
        <v>-2</v>
      </c>
      <c r="J44" s="126">
        <v>0</v>
      </c>
      <c r="K44" s="126">
        <v>0</v>
      </c>
      <c r="L44" s="126">
        <v>0</v>
      </c>
      <c r="M44" s="126">
        <v>0</v>
      </c>
      <c r="N44" s="178">
        <f>SUM(F44:M44)</f>
        <v>-22</v>
      </c>
    </row>
    <row r="45" spans="2:14">
      <c r="B45" s="89"/>
      <c r="C45" s="90" t="s">
        <v>50</v>
      </c>
      <c r="D45" s="113" t="s">
        <v>112</v>
      </c>
      <c r="E45" s="179">
        <v>0</v>
      </c>
      <c r="F45" s="126">
        <v>0</v>
      </c>
      <c r="G45" s="126">
        <v>0</v>
      </c>
      <c r="H45" s="126">
        <v>0</v>
      </c>
      <c r="I45" s="126">
        <v>0</v>
      </c>
      <c r="J45" s="120">
        <v>-5</v>
      </c>
      <c r="K45" s="120">
        <v>-2</v>
      </c>
      <c r="L45" s="120">
        <v>-11</v>
      </c>
      <c r="M45" s="126">
        <v>0</v>
      </c>
      <c r="N45" s="178">
        <f>SUM(F45:M45)</f>
        <v>-18</v>
      </c>
    </row>
    <row r="46" spans="2:14">
      <c r="B46" s="89"/>
      <c r="C46" s="90" t="s">
        <v>51</v>
      </c>
      <c r="D46" s="113" t="s">
        <v>113</v>
      </c>
      <c r="E46" s="126">
        <v>0</v>
      </c>
      <c r="F46" s="126">
        <v>0</v>
      </c>
      <c r="G46" s="126">
        <v>0</v>
      </c>
      <c r="H46" s="126">
        <v>0</v>
      </c>
      <c r="I46" s="126">
        <v>0</v>
      </c>
      <c r="J46" s="126">
        <v>0</v>
      </c>
      <c r="K46" s="126">
        <v>0</v>
      </c>
      <c r="L46" s="126">
        <v>0</v>
      </c>
      <c r="M46" s="126">
        <v>-3</v>
      </c>
      <c r="N46" s="178">
        <f>SUM(F46:M46)</f>
        <v>-3</v>
      </c>
    </row>
    <row r="47" spans="2:14">
      <c r="B47" s="89"/>
      <c r="C47" s="90" t="s">
        <v>134</v>
      </c>
      <c r="D47" s="113" t="s">
        <v>121</v>
      </c>
      <c r="E47" s="126">
        <v>0</v>
      </c>
      <c r="F47" s="126">
        <v>0</v>
      </c>
      <c r="G47" s="126">
        <v>0</v>
      </c>
      <c r="H47" s="126">
        <v>0</v>
      </c>
      <c r="I47" s="120">
        <v>-7</v>
      </c>
      <c r="J47" s="126">
        <v>0</v>
      </c>
      <c r="K47" s="126">
        <v>0</v>
      </c>
      <c r="L47" s="126">
        <v>0</v>
      </c>
      <c r="M47" s="126">
        <v>0</v>
      </c>
      <c r="N47" s="178">
        <f>SUM(F47:M47)</f>
        <v>-7</v>
      </c>
    </row>
    <row r="48" spans="2:14" ht="12.75" thickBot="1">
      <c r="B48" s="443" t="s">
        <v>115</v>
      </c>
      <c r="C48" s="444"/>
      <c r="D48" s="205"/>
      <c r="E48" s="132">
        <f t="shared" ref="E48:N48" si="2">SUM(E43:E47)</f>
        <v>627</v>
      </c>
      <c r="F48" s="132">
        <f t="shared" si="2"/>
        <v>128</v>
      </c>
      <c r="G48" s="132">
        <f t="shared" si="2"/>
        <v>63</v>
      </c>
      <c r="H48" s="132">
        <f t="shared" si="2"/>
        <v>14</v>
      </c>
      <c r="I48" s="132">
        <f t="shared" si="2"/>
        <v>7</v>
      </c>
      <c r="J48" s="132">
        <f t="shared" si="2"/>
        <v>124</v>
      </c>
      <c r="K48" s="132">
        <f t="shared" si="2"/>
        <v>113</v>
      </c>
      <c r="L48" s="132">
        <f t="shared" si="2"/>
        <v>93</v>
      </c>
      <c r="M48" s="132">
        <f t="shared" si="2"/>
        <v>0</v>
      </c>
      <c r="N48" s="183">
        <f t="shared" si="2"/>
        <v>542</v>
      </c>
    </row>
    <row r="49" spans="2:14" ht="5.25" customHeight="1" thickTop="1" thickBot="1">
      <c r="B49" s="99"/>
      <c r="C49" s="100"/>
      <c r="D49" s="101"/>
      <c r="E49" s="100"/>
      <c r="F49" s="102"/>
      <c r="G49" s="102"/>
      <c r="H49" s="102"/>
      <c r="I49" s="102"/>
      <c r="J49" s="102"/>
      <c r="K49" s="102"/>
      <c r="L49" s="102"/>
      <c r="M49" s="102"/>
      <c r="N49" s="103"/>
    </row>
    <row r="50" spans="2:14" ht="12.75" customHeight="1" thickBot="1">
      <c r="B50" s="104"/>
      <c r="C50" s="105"/>
      <c r="D50" s="106"/>
      <c r="E50" s="105"/>
      <c r="F50" s="105"/>
      <c r="G50" s="105"/>
      <c r="H50" s="105"/>
      <c r="I50" s="105"/>
      <c r="J50" s="105"/>
      <c r="K50" s="105"/>
      <c r="L50" s="105"/>
      <c r="M50" s="105"/>
      <c r="N50" s="105"/>
    </row>
    <row r="51" spans="2:14" ht="60">
      <c r="B51" s="190" t="str">
        <f>B42</f>
        <v>Three Months Ended September 30, 2011</v>
      </c>
      <c r="C51" s="191"/>
      <c r="D51" s="107"/>
      <c r="E51" s="108" t="s">
        <v>122</v>
      </c>
      <c r="F51" s="108" t="s">
        <v>123</v>
      </c>
      <c r="G51" s="301" t="s">
        <v>118</v>
      </c>
      <c r="H51" s="302" t="s">
        <v>119</v>
      </c>
      <c r="I51" s="110"/>
      <c r="J51" s="111"/>
      <c r="K51" s="112"/>
      <c r="L51" s="104"/>
      <c r="M51" s="104"/>
      <c r="N51" s="104"/>
    </row>
    <row r="52" spans="2:14">
      <c r="B52" s="440" t="s">
        <v>109</v>
      </c>
      <c r="C52" s="441"/>
      <c r="D52" s="113"/>
      <c r="E52" s="114">
        <f>E43-N43</f>
        <v>162</v>
      </c>
      <c r="F52" s="208">
        <v>148</v>
      </c>
      <c r="G52" s="303">
        <v>0.13</v>
      </c>
      <c r="H52" s="304">
        <v>0.13</v>
      </c>
      <c r="I52" s="117"/>
      <c r="J52" s="118"/>
      <c r="K52" s="112"/>
      <c r="L52" s="104"/>
      <c r="M52" s="104"/>
      <c r="N52" s="104"/>
    </row>
    <row r="53" spans="2:14" ht="12" customHeight="1">
      <c r="B53" s="89"/>
      <c r="C53" s="90" t="s">
        <v>49</v>
      </c>
      <c r="D53" s="113" t="s">
        <v>111</v>
      </c>
      <c r="E53" s="119">
        <f>E44-N44</f>
        <v>-105</v>
      </c>
      <c r="F53" s="209">
        <v>-81</v>
      </c>
      <c r="G53" s="305">
        <v>-7.0000000000000007E-2</v>
      </c>
      <c r="H53" s="306">
        <v>-7.0000000000000007E-2</v>
      </c>
      <c r="I53" s="117"/>
      <c r="J53" s="117"/>
      <c r="K53" s="117"/>
      <c r="L53" s="117"/>
      <c r="M53" s="117"/>
      <c r="N53" s="124"/>
    </row>
    <row r="54" spans="2:14">
      <c r="B54" s="89"/>
      <c r="C54" s="90" t="s">
        <v>50</v>
      </c>
      <c r="D54" s="113" t="s">
        <v>112</v>
      </c>
      <c r="E54" s="119">
        <f>E45-N45</f>
        <v>18</v>
      </c>
      <c r="F54" s="209">
        <v>13</v>
      </c>
      <c r="G54" s="305">
        <v>0.01</v>
      </c>
      <c r="H54" s="306">
        <v>0.01</v>
      </c>
      <c r="I54" s="123"/>
      <c r="J54" s="123"/>
      <c r="K54" s="124"/>
      <c r="L54" s="124"/>
      <c r="M54" s="124"/>
      <c r="N54" s="124"/>
    </row>
    <row r="55" spans="2:14">
      <c r="B55" s="89"/>
      <c r="C55" s="90" t="s">
        <v>51</v>
      </c>
      <c r="D55" s="113" t="s">
        <v>113</v>
      </c>
      <c r="E55" s="119">
        <f>E46-N46</f>
        <v>3</v>
      </c>
      <c r="F55" s="209">
        <v>2</v>
      </c>
      <c r="G55" s="307">
        <v>0</v>
      </c>
      <c r="H55" s="308">
        <v>0</v>
      </c>
      <c r="I55" s="128"/>
      <c r="J55" s="128"/>
      <c r="K55" s="129"/>
      <c r="L55" s="124"/>
      <c r="M55" s="124"/>
      <c r="N55" s="124"/>
    </row>
    <row r="56" spans="2:14">
      <c r="B56" s="89"/>
      <c r="C56" s="90" t="s">
        <v>134</v>
      </c>
      <c r="D56" s="113" t="s">
        <v>121</v>
      </c>
      <c r="E56" s="119">
        <f>E47-N47</f>
        <v>7</v>
      </c>
      <c r="F56" s="209">
        <v>5</v>
      </c>
      <c r="G56" s="309">
        <v>0</v>
      </c>
      <c r="H56" s="308">
        <v>0</v>
      </c>
      <c r="I56" s="128"/>
      <c r="J56" s="128"/>
      <c r="K56" s="129"/>
      <c r="L56" s="124"/>
      <c r="M56" s="124"/>
      <c r="N56" s="124"/>
    </row>
    <row r="57" spans="2:14" ht="12.75" thickBot="1">
      <c r="B57" s="443" t="s">
        <v>115</v>
      </c>
      <c r="C57" s="444"/>
      <c r="D57" s="131"/>
      <c r="E57" s="132">
        <f>SUM(E52:E56)</f>
        <v>85</v>
      </c>
      <c r="F57" s="132">
        <f>SUM(F52:F56)</f>
        <v>87</v>
      </c>
      <c r="G57" s="310">
        <v>7.0000000000000007E-2</v>
      </c>
      <c r="H57" s="311">
        <v>7.0000000000000007E-2</v>
      </c>
      <c r="I57" s="135"/>
      <c r="J57" s="105"/>
      <c r="K57" s="105"/>
      <c r="L57" s="105"/>
      <c r="M57" s="105"/>
      <c r="N57" s="105"/>
    </row>
    <row r="58" spans="2:14" ht="5.25" customHeight="1" thickTop="1" thickBot="1">
      <c r="B58" s="136"/>
      <c r="C58" s="137"/>
      <c r="D58" s="138"/>
      <c r="E58" s="139"/>
      <c r="F58" s="139"/>
      <c r="G58" s="139"/>
      <c r="H58" s="140"/>
      <c r="I58" s="104"/>
      <c r="J58" s="105"/>
      <c r="K58" s="105"/>
      <c r="L58" s="105"/>
      <c r="M58" s="105"/>
      <c r="N58" s="105"/>
    </row>
    <row r="59" spans="2:14" ht="12.75" customHeight="1" thickBot="1">
      <c r="B59" s="104"/>
      <c r="C59" s="104"/>
      <c r="D59" s="170"/>
      <c r="E59" s="104"/>
      <c r="F59" s="104"/>
      <c r="G59" s="104"/>
      <c r="H59" s="104"/>
      <c r="I59" s="104"/>
      <c r="J59" s="105"/>
      <c r="K59" s="105"/>
      <c r="L59" s="105"/>
      <c r="M59" s="105"/>
      <c r="N59" s="105"/>
    </row>
    <row r="60" spans="2:14" ht="60">
      <c r="B60" s="171" t="s">
        <v>207</v>
      </c>
      <c r="C60" s="172"/>
      <c r="D60" s="173"/>
      <c r="E60" s="82" t="s">
        <v>101</v>
      </c>
      <c r="F60" s="82" t="s">
        <v>102</v>
      </c>
      <c r="G60" s="82" t="s">
        <v>214</v>
      </c>
      <c r="H60" s="82" t="s">
        <v>103</v>
      </c>
      <c r="I60" s="82" t="s">
        <v>104</v>
      </c>
      <c r="J60" s="82" t="s">
        <v>105</v>
      </c>
      <c r="K60" s="82" t="s">
        <v>106</v>
      </c>
      <c r="L60" s="82" t="s">
        <v>107</v>
      </c>
      <c r="M60" s="82" t="s">
        <v>45</v>
      </c>
      <c r="N60" s="83" t="s">
        <v>108</v>
      </c>
    </row>
    <row r="61" spans="2:14">
      <c r="B61" s="440" t="s">
        <v>109</v>
      </c>
      <c r="C61" s="441"/>
      <c r="D61" s="176"/>
      <c r="E61" s="114">
        <v>1407</v>
      </c>
      <c r="F61" s="114">
        <v>483</v>
      </c>
      <c r="G61" s="114">
        <v>65</v>
      </c>
      <c r="H61" s="114">
        <v>85</v>
      </c>
      <c r="I61" s="114">
        <v>96</v>
      </c>
      <c r="J61" s="114">
        <v>249</v>
      </c>
      <c r="K61" s="114">
        <v>281</v>
      </c>
      <c r="L61" s="114">
        <v>122</v>
      </c>
      <c r="M61" s="114">
        <v>1</v>
      </c>
      <c r="N61" s="177">
        <f t="shared" ref="N61:N66" si="3">SUM(F61:M61)</f>
        <v>1382</v>
      </c>
    </row>
    <row r="62" spans="2:14" ht="12" customHeight="1">
      <c r="B62" s="89"/>
      <c r="C62" s="90" t="s">
        <v>49</v>
      </c>
      <c r="D62" s="113" t="s">
        <v>111</v>
      </c>
      <c r="E62" s="120">
        <v>1001</v>
      </c>
      <c r="F62" s="120">
        <v>209</v>
      </c>
      <c r="G62" s="126">
        <v>0</v>
      </c>
      <c r="H62" s="120">
        <v>37</v>
      </c>
      <c r="I62" s="120">
        <v>-3</v>
      </c>
      <c r="J62" s="126">
        <v>0</v>
      </c>
      <c r="K62" s="126">
        <v>0</v>
      </c>
      <c r="L62" s="126">
        <v>0</v>
      </c>
      <c r="M62" s="126">
        <v>0</v>
      </c>
      <c r="N62" s="178">
        <f t="shared" si="3"/>
        <v>243</v>
      </c>
    </row>
    <row r="63" spans="2:14">
      <c r="B63" s="89"/>
      <c r="C63" s="90" t="s">
        <v>50</v>
      </c>
      <c r="D63" s="113" t="s">
        <v>112</v>
      </c>
      <c r="E63" s="179">
        <v>0</v>
      </c>
      <c r="F63" s="126">
        <v>0</v>
      </c>
      <c r="G63" s="126">
        <v>0</v>
      </c>
      <c r="H63" s="126">
        <v>-3</v>
      </c>
      <c r="I63" s="126">
        <v>0</v>
      </c>
      <c r="J63" s="120">
        <v>-25</v>
      </c>
      <c r="K63" s="120">
        <v>-2</v>
      </c>
      <c r="L63" s="120">
        <v>-13</v>
      </c>
      <c r="M63" s="126">
        <v>0</v>
      </c>
      <c r="N63" s="178">
        <f t="shared" si="3"/>
        <v>-43</v>
      </c>
    </row>
    <row r="64" spans="2:14">
      <c r="B64" s="89"/>
      <c r="C64" s="90" t="s">
        <v>51</v>
      </c>
      <c r="D64" s="113" t="s">
        <v>113</v>
      </c>
      <c r="E64" s="126">
        <v>0</v>
      </c>
      <c r="F64" s="126">
        <v>0</v>
      </c>
      <c r="G64" s="126">
        <v>0</v>
      </c>
      <c r="H64" s="126">
        <v>0</v>
      </c>
      <c r="I64" s="126">
        <v>0</v>
      </c>
      <c r="J64" s="126">
        <v>0</v>
      </c>
      <c r="K64" s="126">
        <v>0</v>
      </c>
      <c r="L64" s="126">
        <v>-1</v>
      </c>
      <c r="M64" s="126">
        <v>-1</v>
      </c>
      <c r="N64" s="178">
        <f t="shared" si="3"/>
        <v>-2</v>
      </c>
    </row>
    <row r="65" spans="2:14">
      <c r="B65" s="89"/>
      <c r="C65" s="90" t="s">
        <v>134</v>
      </c>
      <c r="D65" s="113" t="s">
        <v>121</v>
      </c>
      <c r="E65" s="126">
        <v>0</v>
      </c>
      <c r="F65" s="126">
        <v>-2</v>
      </c>
      <c r="G65" s="126">
        <v>0</v>
      </c>
      <c r="H65" s="126">
        <v>0</v>
      </c>
      <c r="I65" s="120">
        <v>-48</v>
      </c>
      <c r="J65" s="126">
        <v>0</v>
      </c>
      <c r="K65" s="126">
        <v>0</v>
      </c>
      <c r="L65" s="126">
        <v>0</v>
      </c>
      <c r="M65" s="126">
        <v>0</v>
      </c>
      <c r="N65" s="178">
        <f t="shared" si="3"/>
        <v>-50</v>
      </c>
    </row>
    <row r="66" spans="2:14">
      <c r="B66" s="89"/>
      <c r="C66" s="90" t="s">
        <v>208</v>
      </c>
      <c r="D66" s="113" t="s">
        <v>114</v>
      </c>
      <c r="E66" s="126">
        <v>0</v>
      </c>
      <c r="F66" s="126">
        <v>0</v>
      </c>
      <c r="G66" s="126">
        <v>0</v>
      </c>
      <c r="H66" s="126">
        <v>0</v>
      </c>
      <c r="I66" s="120">
        <v>0</v>
      </c>
      <c r="J66" s="126">
        <v>0</v>
      </c>
      <c r="K66" s="126">
        <v>0</v>
      </c>
      <c r="L66" s="126">
        <v>-12</v>
      </c>
      <c r="M66" s="126">
        <v>0</v>
      </c>
      <c r="N66" s="178">
        <f t="shared" si="3"/>
        <v>-12</v>
      </c>
    </row>
    <row r="67" spans="2:14" ht="12.75" thickBot="1">
      <c r="B67" s="443" t="s">
        <v>115</v>
      </c>
      <c r="C67" s="444"/>
      <c r="D67" s="205"/>
      <c r="E67" s="132">
        <f t="shared" ref="E67:N67" si="4">SUM(E61:E66)</f>
        <v>2408</v>
      </c>
      <c r="F67" s="132">
        <f t="shared" si="4"/>
        <v>690</v>
      </c>
      <c r="G67" s="132">
        <f t="shared" si="4"/>
        <v>65</v>
      </c>
      <c r="H67" s="132">
        <f t="shared" si="4"/>
        <v>119</v>
      </c>
      <c r="I67" s="132">
        <f t="shared" si="4"/>
        <v>45</v>
      </c>
      <c r="J67" s="132">
        <f t="shared" si="4"/>
        <v>224</v>
      </c>
      <c r="K67" s="132">
        <f t="shared" si="4"/>
        <v>279</v>
      </c>
      <c r="L67" s="132">
        <f t="shared" si="4"/>
        <v>96</v>
      </c>
      <c r="M67" s="132">
        <f t="shared" si="4"/>
        <v>0</v>
      </c>
      <c r="N67" s="183">
        <f t="shared" si="4"/>
        <v>1518</v>
      </c>
    </row>
    <row r="68" spans="2:14" ht="5.25" customHeight="1" thickTop="1" thickBot="1">
      <c r="B68" s="99"/>
      <c r="C68" s="100"/>
      <c r="D68" s="101"/>
      <c r="E68" s="100"/>
      <c r="F68" s="102"/>
      <c r="G68" s="102"/>
      <c r="H68" s="102"/>
      <c r="I68" s="102"/>
      <c r="J68" s="102"/>
      <c r="K68" s="102"/>
      <c r="L68" s="102"/>
      <c r="M68" s="102"/>
      <c r="N68" s="103"/>
    </row>
    <row r="69" spans="2:14" ht="12.75" customHeight="1" thickBot="1">
      <c r="B69" s="104"/>
      <c r="C69" s="105"/>
      <c r="D69" s="106"/>
      <c r="E69" s="105"/>
      <c r="F69" s="105"/>
      <c r="G69" s="105"/>
      <c r="H69" s="105"/>
      <c r="I69" s="105"/>
      <c r="J69" s="105"/>
      <c r="K69" s="105"/>
      <c r="L69" s="105"/>
      <c r="M69" s="105"/>
      <c r="N69" s="105"/>
    </row>
    <row r="70" spans="2:14" ht="48">
      <c r="B70" s="190" t="str">
        <f>B60</f>
        <v>Three Months Ended December 31, 2011</v>
      </c>
      <c r="C70" s="191"/>
      <c r="D70" s="107"/>
      <c r="E70" s="108" t="s">
        <v>122</v>
      </c>
      <c r="F70" s="108" t="s">
        <v>123</v>
      </c>
      <c r="G70" s="301" t="s">
        <v>124</v>
      </c>
      <c r="H70" s="302" t="s">
        <v>125</v>
      </c>
      <c r="I70" s="110"/>
      <c r="J70" s="111"/>
      <c r="K70" s="112"/>
      <c r="L70" s="104"/>
      <c r="M70" s="104"/>
      <c r="N70" s="104"/>
    </row>
    <row r="71" spans="2:14">
      <c r="B71" s="440" t="s">
        <v>109</v>
      </c>
      <c r="C71" s="441"/>
      <c r="D71" s="113"/>
      <c r="E71" s="114">
        <f t="shared" ref="E71:E76" si="5">E61-N61</f>
        <v>25</v>
      </c>
      <c r="F71" s="208">
        <v>99</v>
      </c>
      <c r="G71" s="303">
        <v>0.09</v>
      </c>
      <c r="H71" s="304">
        <v>0.08</v>
      </c>
      <c r="I71" s="117"/>
      <c r="J71" s="118"/>
      <c r="K71" s="112"/>
      <c r="L71" s="104"/>
      <c r="M71" s="104"/>
      <c r="N71" s="104"/>
    </row>
    <row r="72" spans="2:14" ht="12" customHeight="1">
      <c r="B72" s="89"/>
      <c r="C72" s="90" t="s">
        <v>49</v>
      </c>
      <c r="D72" s="113" t="s">
        <v>111</v>
      </c>
      <c r="E72" s="119">
        <f t="shared" si="5"/>
        <v>758</v>
      </c>
      <c r="F72" s="209">
        <v>549</v>
      </c>
      <c r="G72" s="305">
        <v>0.47</v>
      </c>
      <c r="H72" s="306">
        <v>0.47</v>
      </c>
      <c r="I72" s="117"/>
      <c r="J72" s="117"/>
      <c r="K72" s="117"/>
      <c r="L72" s="117"/>
      <c r="M72" s="117"/>
      <c r="N72" s="124"/>
    </row>
    <row r="73" spans="2:14">
      <c r="B73" s="89"/>
      <c r="C73" s="90" t="s">
        <v>50</v>
      </c>
      <c r="D73" s="113" t="s">
        <v>112</v>
      </c>
      <c r="E73" s="119">
        <f t="shared" si="5"/>
        <v>43</v>
      </c>
      <c r="F73" s="209">
        <v>33</v>
      </c>
      <c r="G73" s="305">
        <v>0.03</v>
      </c>
      <c r="H73" s="306">
        <v>0.03</v>
      </c>
      <c r="I73" s="123"/>
      <c r="J73" s="123"/>
      <c r="K73" s="124"/>
      <c r="L73" s="124"/>
      <c r="M73" s="124"/>
      <c r="N73" s="124"/>
    </row>
    <row r="74" spans="2:14">
      <c r="B74" s="89"/>
      <c r="C74" s="90" t="s">
        <v>51</v>
      </c>
      <c r="D74" s="113" t="s">
        <v>113</v>
      </c>
      <c r="E74" s="119">
        <f t="shared" si="5"/>
        <v>2</v>
      </c>
      <c r="F74" s="209">
        <v>1</v>
      </c>
      <c r="G74" s="307">
        <v>0</v>
      </c>
      <c r="H74" s="308">
        <v>0</v>
      </c>
      <c r="I74" s="128"/>
      <c r="J74" s="128"/>
      <c r="K74" s="129"/>
      <c r="L74" s="124"/>
      <c r="M74" s="124"/>
      <c r="N74" s="124"/>
    </row>
    <row r="75" spans="2:14">
      <c r="B75" s="89"/>
      <c r="C75" s="90" t="s">
        <v>134</v>
      </c>
      <c r="D75" s="113" t="s">
        <v>121</v>
      </c>
      <c r="E75" s="119">
        <f t="shared" si="5"/>
        <v>50</v>
      </c>
      <c r="F75" s="209">
        <v>31</v>
      </c>
      <c r="G75" s="305">
        <v>0.03</v>
      </c>
      <c r="H75" s="306">
        <v>0.03</v>
      </c>
      <c r="I75" s="128"/>
      <c r="J75" s="128"/>
      <c r="K75" s="129"/>
      <c r="L75" s="124"/>
      <c r="M75" s="124"/>
      <c r="N75" s="124"/>
    </row>
    <row r="76" spans="2:14">
      <c r="B76" s="89"/>
      <c r="C76" s="90" t="s">
        <v>208</v>
      </c>
      <c r="D76" s="113" t="s">
        <v>114</v>
      </c>
      <c r="E76" s="119">
        <f t="shared" si="5"/>
        <v>12</v>
      </c>
      <c r="F76" s="209">
        <v>12</v>
      </c>
      <c r="G76" s="378">
        <v>0.01</v>
      </c>
      <c r="H76" s="379">
        <v>0.01</v>
      </c>
      <c r="I76" s="128"/>
      <c r="J76" s="128"/>
      <c r="K76" s="129"/>
      <c r="L76" s="124"/>
      <c r="M76" s="124"/>
      <c r="N76" s="124"/>
    </row>
    <row r="77" spans="2:14" ht="12.75" thickBot="1">
      <c r="B77" s="443" t="s">
        <v>115</v>
      </c>
      <c r="C77" s="444"/>
      <c r="D77" s="131"/>
      <c r="E77" s="132">
        <f>SUM(E71:E76)</f>
        <v>890</v>
      </c>
      <c r="F77" s="132">
        <f>SUM(F71:F76)</f>
        <v>725</v>
      </c>
      <c r="G77" s="310">
        <v>0.63</v>
      </c>
      <c r="H77" s="311">
        <v>0.62</v>
      </c>
      <c r="I77" s="135"/>
      <c r="J77" s="105"/>
      <c r="K77" s="105"/>
      <c r="L77" s="105"/>
      <c r="M77" s="105"/>
      <c r="N77" s="105"/>
    </row>
    <row r="78" spans="2:14" ht="5.25" customHeight="1" thickTop="1" thickBot="1">
      <c r="B78" s="136"/>
      <c r="C78" s="137"/>
      <c r="D78" s="138"/>
      <c r="E78" s="139"/>
      <c r="F78" s="139"/>
      <c r="G78" s="139"/>
      <c r="H78" s="140"/>
      <c r="I78" s="104"/>
      <c r="J78" s="105"/>
      <c r="K78" s="105"/>
      <c r="L78" s="105"/>
      <c r="M78" s="105"/>
      <c r="N78" s="105"/>
    </row>
    <row r="79" spans="2:14">
      <c r="B79" s="104"/>
      <c r="C79" s="104"/>
      <c r="D79" s="170"/>
      <c r="E79" s="104"/>
      <c r="F79" s="104"/>
      <c r="G79" s="104"/>
      <c r="H79" s="104"/>
      <c r="I79" s="104"/>
      <c r="J79" s="105"/>
      <c r="K79" s="105"/>
      <c r="L79" s="105"/>
      <c r="M79" s="105"/>
      <c r="N79" s="105"/>
    </row>
    <row r="80" spans="2:14">
      <c r="B80" s="200"/>
      <c r="C80" s="445" t="s">
        <v>126</v>
      </c>
      <c r="D80" s="445"/>
      <c r="E80" s="445"/>
      <c r="F80" s="445"/>
      <c r="G80" s="445"/>
      <c r="H80" s="445"/>
      <c r="I80" s="445"/>
      <c r="J80" s="445"/>
      <c r="K80" s="445"/>
      <c r="L80" s="445"/>
      <c r="M80" s="445"/>
      <c r="N80" s="445"/>
    </row>
    <row r="81" spans="2:14">
      <c r="B81" s="200"/>
      <c r="C81" s="446" t="s">
        <v>127</v>
      </c>
      <c r="D81" s="446"/>
      <c r="E81" s="446"/>
      <c r="F81" s="446"/>
      <c r="G81" s="446"/>
      <c r="H81" s="446"/>
      <c r="I81" s="446"/>
      <c r="J81" s="446"/>
      <c r="K81" s="446"/>
      <c r="L81" s="446"/>
      <c r="M81" s="446"/>
      <c r="N81" s="446"/>
    </row>
    <row r="82" spans="2:14">
      <c r="B82" s="200"/>
      <c r="C82" s="446" t="s">
        <v>128</v>
      </c>
      <c r="D82" s="446"/>
      <c r="E82" s="446"/>
      <c r="F82" s="446"/>
      <c r="G82" s="446"/>
      <c r="H82" s="446"/>
      <c r="I82" s="446"/>
      <c r="J82" s="446"/>
      <c r="K82" s="446"/>
      <c r="L82" s="446"/>
      <c r="M82" s="446"/>
      <c r="N82" s="446"/>
    </row>
    <row r="83" spans="2:14">
      <c r="B83" s="201"/>
      <c r="C83" s="445" t="s">
        <v>168</v>
      </c>
      <c r="D83" s="445"/>
      <c r="E83" s="445"/>
      <c r="F83" s="445"/>
      <c r="G83" s="445"/>
      <c r="H83" s="445"/>
      <c r="I83" s="445"/>
      <c r="J83" s="445"/>
      <c r="K83" s="445"/>
      <c r="L83" s="445"/>
      <c r="M83" s="445"/>
      <c r="N83" s="445"/>
    </row>
    <row r="84" spans="2:14">
      <c r="B84" s="201"/>
      <c r="C84" s="363" t="s">
        <v>283</v>
      </c>
      <c r="D84" s="363"/>
      <c r="E84" s="363"/>
      <c r="F84" s="363"/>
      <c r="G84" s="363"/>
      <c r="H84" s="363"/>
      <c r="I84" s="363"/>
      <c r="J84" s="363"/>
      <c r="K84" s="363"/>
      <c r="L84" s="363"/>
      <c r="M84" s="363"/>
      <c r="N84" s="363"/>
    </row>
    <row r="85" spans="2:14">
      <c r="B85" s="201"/>
      <c r="C85" s="202"/>
      <c r="D85" s="207"/>
      <c r="E85" s="207"/>
      <c r="F85" s="207"/>
      <c r="G85" s="207"/>
      <c r="H85" s="207"/>
      <c r="I85" s="207"/>
      <c r="J85" s="207"/>
      <c r="K85" s="207"/>
      <c r="L85" s="207"/>
      <c r="M85" s="207"/>
      <c r="N85" s="207"/>
    </row>
    <row r="86" spans="2:14" ht="33" customHeight="1">
      <c r="B86" s="201"/>
      <c r="C86" s="447" t="s">
        <v>129</v>
      </c>
      <c r="D86" s="447"/>
      <c r="E86" s="447"/>
      <c r="F86" s="447"/>
      <c r="G86" s="447"/>
      <c r="H86" s="447"/>
      <c r="I86" s="447"/>
      <c r="J86" s="447"/>
      <c r="K86" s="447"/>
      <c r="L86" s="447"/>
      <c r="M86" s="447"/>
      <c r="N86" s="447"/>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40" orientation="landscape" r:id="rId1"/>
  <headerFooter>
    <oddFooter>&amp;LActivision Blizzard, Inc.&amp;R&amp;P of &amp; 18</oddFooter>
  </headerFooter>
  <rowBreaks count="1" manualBreakCount="1">
    <brk id="41"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topLeftCell="A49" zoomScale="70" zoomScaleNormal="100" zoomScaleSheetLayoutView="70" workbookViewId="0"/>
  </sheetViews>
  <sheetFormatPr defaultRowHeight="12"/>
  <cols>
    <col min="1" max="1" width="2.85546875" style="75" customWidth="1"/>
    <col min="2" max="2" width="1.42578125" style="75" customWidth="1"/>
    <col min="3" max="3" width="57.140625" style="75" customWidth="1"/>
    <col min="4" max="4" width="4.42578125" style="75" bestFit="1" customWidth="1"/>
    <col min="5" max="5" width="10.85546875" style="75" customWidth="1"/>
    <col min="6" max="7" width="8.5703125" style="75" customWidth="1"/>
    <col min="8" max="8" width="12.42578125" style="75" customWidth="1"/>
    <col min="9" max="9" width="10.5703125" style="75" customWidth="1"/>
    <col min="10" max="10" width="12.28515625" style="75" customWidth="1"/>
    <col min="11" max="11" width="10" style="75" customWidth="1"/>
    <col min="12" max="14" width="13" style="75" customWidth="1"/>
    <col min="15" max="16384" width="9.140625" style="75"/>
  </cols>
  <sheetData>
    <row r="1" spans="2:14">
      <c r="B1" s="442" t="s">
        <v>70</v>
      </c>
      <c r="C1" s="442"/>
      <c r="D1" s="442"/>
      <c r="E1" s="442"/>
      <c r="F1" s="442"/>
      <c r="G1" s="442"/>
      <c r="H1" s="442"/>
      <c r="I1" s="442"/>
      <c r="J1" s="442"/>
      <c r="K1" s="442"/>
      <c r="L1" s="442"/>
      <c r="M1" s="442"/>
      <c r="N1" s="442"/>
    </row>
    <row r="2" spans="2:14">
      <c r="B2" s="442" t="s">
        <v>242</v>
      </c>
      <c r="C2" s="442"/>
      <c r="D2" s="442"/>
      <c r="E2" s="442"/>
      <c r="F2" s="442"/>
      <c r="G2" s="442"/>
      <c r="H2" s="442"/>
      <c r="I2" s="442"/>
      <c r="J2" s="442"/>
      <c r="K2" s="442"/>
      <c r="L2" s="442"/>
      <c r="M2" s="442"/>
      <c r="N2" s="442"/>
    </row>
    <row r="3" spans="2:14">
      <c r="B3" s="442" t="s">
        <v>100</v>
      </c>
      <c r="C3" s="442"/>
      <c r="D3" s="442"/>
      <c r="E3" s="442"/>
      <c r="F3" s="442"/>
      <c r="G3" s="442"/>
      <c r="H3" s="442"/>
      <c r="I3" s="442"/>
      <c r="J3" s="442"/>
      <c r="K3" s="442"/>
      <c r="L3" s="442"/>
      <c r="M3" s="442"/>
      <c r="N3" s="442"/>
    </row>
    <row r="4" spans="2:14">
      <c r="B4" s="76"/>
      <c r="C4" s="76"/>
      <c r="D4" s="76"/>
      <c r="E4" s="76"/>
      <c r="F4" s="76"/>
      <c r="G4" s="76"/>
      <c r="H4" s="76"/>
      <c r="I4" s="76"/>
      <c r="J4" s="76"/>
      <c r="K4" s="76"/>
      <c r="L4" s="76"/>
      <c r="M4" s="76"/>
      <c r="N4" s="76"/>
    </row>
    <row r="5" spans="2:14" ht="12.75" thickBot="1">
      <c r="B5" s="77"/>
      <c r="C5" s="78"/>
      <c r="D5" s="79"/>
      <c r="E5" s="78"/>
      <c r="F5" s="78"/>
      <c r="G5" s="79"/>
      <c r="H5" s="79"/>
      <c r="I5" s="79"/>
      <c r="J5" s="79"/>
      <c r="K5" s="80"/>
      <c r="L5" s="80"/>
      <c r="M5" s="80"/>
      <c r="N5" s="80"/>
    </row>
    <row r="6" spans="2:14" ht="60">
      <c r="B6" s="448" t="s">
        <v>25</v>
      </c>
      <c r="C6" s="449"/>
      <c r="D6" s="81"/>
      <c r="E6" s="82" t="s">
        <v>101</v>
      </c>
      <c r="F6" s="82" t="s">
        <v>102</v>
      </c>
      <c r="G6" s="82" t="s">
        <v>214</v>
      </c>
      <c r="H6" s="82" t="s">
        <v>103</v>
      </c>
      <c r="I6" s="82" t="s">
        <v>104</v>
      </c>
      <c r="J6" s="82" t="s">
        <v>105</v>
      </c>
      <c r="K6" s="82" t="s">
        <v>106</v>
      </c>
      <c r="L6" s="82" t="s">
        <v>107</v>
      </c>
      <c r="M6" s="83" t="s">
        <v>108</v>
      </c>
      <c r="N6" s="84"/>
    </row>
    <row r="7" spans="2:14">
      <c r="B7" s="450" t="s">
        <v>109</v>
      </c>
      <c r="C7" s="451"/>
      <c r="D7" s="85"/>
      <c r="E7" s="86">
        <v>1308</v>
      </c>
      <c r="F7" s="86">
        <v>337</v>
      </c>
      <c r="G7" s="86">
        <f>56+2</f>
        <v>58</v>
      </c>
      <c r="H7" s="86">
        <v>99</v>
      </c>
      <c r="I7" s="86">
        <v>43</v>
      </c>
      <c r="J7" s="86">
        <f>136-2</f>
        <v>134</v>
      </c>
      <c r="K7" s="86">
        <v>56</v>
      </c>
      <c r="L7" s="86">
        <v>70</v>
      </c>
      <c r="M7" s="87">
        <f>SUM(F7:L7)</f>
        <v>797</v>
      </c>
      <c r="N7" s="88" t="s">
        <v>110</v>
      </c>
    </row>
    <row r="8" spans="2:14" ht="12" customHeight="1">
      <c r="B8" s="89"/>
      <c r="C8" s="90" t="s">
        <v>49</v>
      </c>
      <c r="D8" s="85" t="s">
        <v>111</v>
      </c>
      <c r="E8" s="91">
        <v>-594</v>
      </c>
      <c r="F8" s="91">
        <v>-133</v>
      </c>
      <c r="G8" s="91">
        <v>0</v>
      </c>
      <c r="H8" s="91">
        <v>-37</v>
      </c>
      <c r="I8" s="91">
        <v>-14</v>
      </c>
      <c r="J8" s="91">
        <v>0</v>
      </c>
      <c r="K8" s="91">
        <v>0</v>
      </c>
      <c r="L8" s="91">
        <v>0</v>
      </c>
      <c r="M8" s="92">
        <f>SUM(F8:L8)</f>
        <v>-184</v>
      </c>
      <c r="N8" s="88" t="s">
        <v>110</v>
      </c>
    </row>
    <row r="9" spans="2:14" ht="24">
      <c r="B9" s="89"/>
      <c r="C9" s="90" t="s">
        <v>133</v>
      </c>
      <c r="D9" s="85" t="s">
        <v>112</v>
      </c>
      <c r="E9" s="93">
        <v>0</v>
      </c>
      <c r="F9" s="93">
        <v>0</v>
      </c>
      <c r="G9" s="93">
        <v>0</v>
      </c>
      <c r="H9" s="93">
        <v>-29</v>
      </c>
      <c r="I9" s="93">
        <v>0</v>
      </c>
      <c r="J9" s="93">
        <v>-4</v>
      </c>
      <c r="K9" s="93">
        <v>-2</v>
      </c>
      <c r="L9" s="93">
        <v>-9</v>
      </c>
      <c r="M9" s="94">
        <f>SUM(F9:L9)</f>
        <v>-44</v>
      </c>
      <c r="N9" s="88" t="s">
        <v>110</v>
      </c>
    </row>
    <row r="10" spans="2:14">
      <c r="B10" s="89"/>
      <c r="C10" s="90" t="s">
        <v>120</v>
      </c>
      <c r="D10" s="95" t="s">
        <v>113</v>
      </c>
      <c r="E10" s="93">
        <v>0</v>
      </c>
      <c r="F10" s="93">
        <v>0</v>
      </c>
      <c r="G10" s="93">
        <v>0</v>
      </c>
      <c r="H10" s="93">
        <v>0</v>
      </c>
      <c r="I10" s="93">
        <v>0</v>
      </c>
      <c r="J10" s="93">
        <v>0</v>
      </c>
      <c r="K10" s="93">
        <v>0</v>
      </c>
      <c r="L10" s="93">
        <v>-3</v>
      </c>
      <c r="M10" s="94">
        <f>SUM(F10:L10)</f>
        <v>-3</v>
      </c>
      <c r="N10" s="88" t="s">
        <v>110</v>
      </c>
    </row>
    <row r="11" spans="2:14">
      <c r="B11" s="89"/>
      <c r="C11" s="90" t="s">
        <v>134</v>
      </c>
      <c r="D11" s="85" t="s">
        <v>121</v>
      </c>
      <c r="E11" s="203">
        <v>0</v>
      </c>
      <c r="F11" s="203">
        <v>-1</v>
      </c>
      <c r="G11" s="203">
        <v>0</v>
      </c>
      <c r="H11" s="203">
        <v>-4</v>
      </c>
      <c r="I11" s="203">
        <v>-12</v>
      </c>
      <c r="J11" s="203">
        <v>0</v>
      </c>
      <c r="K11" s="203">
        <v>0</v>
      </c>
      <c r="L11" s="203">
        <v>0</v>
      </c>
      <c r="M11" s="204">
        <f>SUM(F11:L11)</f>
        <v>-17</v>
      </c>
      <c r="N11" s="88" t="s">
        <v>110</v>
      </c>
    </row>
    <row r="12" spans="2:14" ht="12.75" thickBot="1">
      <c r="B12" s="443" t="s">
        <v>115</v>
      </c>
      <c r="C12" s="444"/>
      <c r="D12" s="96"/>
      <c r="E12" s="97">
        <f t="shared" ref="E12:M12" si="0">SUM(E7:E11)</f>
        <v>714</v>
      </c>
      <c r="F12" s="97">
        <f t="shared" si="0"/>
        <v>203</v>
      </c>
      <c r="G12" s="97">
        <f t="shared" si="0"/>
        <v>58</v>
      </c>
      <c r="H12" s="97">
        <f t="shared" si="0"/>
        <v>29</v>
      </c>
      <c r="I12" s="97">
        <f t="shared" si="0"/>
        <v>17</v>
      </c>
      <c r="J12" s="97">
        <f t="shared" si="0"/>
        <v>130</v>
      </c>
      <c r="K12" s="97">
        <f t="shared" si="0"/>
        <v>54</v>
      </c>
      <c r="L12" s="97">
        <f t="shared" si="0"/>
        <v>58</v>
      </c>
      <c r="M12" s="98">
        <f t="shared" si="0"/>
        <v>549</v>
      </c>
      <c r="N12" s="88" t="s">
        <v>110</v>
      </c>
    </row>
    <row r="13" spans="2:14" ht="4.5" customHeight="1" thickTop="1" thickBot="1">
      <c r="B13" s="99"/>
      <c r="C13" s="100"/>
      <c r="D13" s="101"/>
      <c r="E13" s="100"/>
      <c r="F13" s="102"/>
      <c r="G13" s="102"/>
      <c r="H13" s="102"/>
      <c r="I13" s="102"/>
      <c r="J13" s="102"/>
      <c r="K13" s="102"/>
      <c r="L13" s="102"/>
      <c r="M13" s="103"/>
      <c r="N13" s="88" t="s">
        <v>110</v>
      </c>
    </row>
    <row r="14" spans="2:14" ht="12.75" thickBot="1">
      <c r="B14" s="104"/>
      <c r="C14" s="105"/>
      <c r="D14" s="106"/>
      <c r="E14" s="105"/>
      <c r="F14" s="105"/>
      <c r="G14" s="105"/>
      <c r="H14" s="105"/>
      <c r="I14" s="105"/>
      <c r="J14" s="105"/>
      <c r="K14" s="105"/>
      <c r="L14" s="105"/>
      <c r="M14" s="105"/>
      <c r="N14" s="105"/>
    </row>
    <row r="15" spans="2:14" ht="60">
      <c r="B15" s="448" t="str">
        <f>B6</f>
        <v>Three Months Ended March 31, 2010</v>
      </c>
      <c r="C15" s="449"/>
      <c r="D15" s="107"/>
      <c r="E15" s="108" t="s">
        <v>122</v>
      </c>
      <c r="F15" s="108" t="s">
        <v>123</v>
      </c>
      <c r="G15" s="108" t="s">
        <v>118</v>
      </c>
      <c r="H15" s="109" t="s">
        <v>119</v>
      </c>
      <c r="I15" s="110"/>
      <c r="J15" s="111"/>
      <c r="K15" s="112"/>
      <c r="L15" s="104"/>
      <c r="M15" s="104"/>
      <c r="N15" s="104"/>
    </row>
    <row r="16" spans="2:14">
      <c r="B16" s="440" t="s">
        <v>109</v>
      </c>
      <c r="C16" s="441"/>
      <c r="D16" s="113"/>
      <c r="E16" s="114">
        <f>E7-M7</f>
        <v>511</v>
      </c>
      <c r="F16" s="114">
        <v>381</v>
      </c>
      <c r="G16" s="115">
        <v>0.3</v>
      </c>
      <c r="H16" s="116">
        <v>0.3</v>
      </c>
      <c r="I16" s="117"/>
      <c r="J16" s="118"/>
      <c r="K16" s="112"/>
      <c r="L16" s="104"/>
      <c r="M16" s="104"/>
      <c r="N16" s="104"/>
    </row>
    <row r="17" spans="2:14" ht="12" customHeight="1">
      <c r="B17" s="89"/>
      <c r="C17" s="90" t="s">
        <v>49</v>
      </c>
      <c r="D17" s="113" t="s">
        <v>111</v>
      </c>
      <c r="E17" s="119">
        <f>E8-M8</f>
        <v>-410</v>
      </c>
      <c r="F17" s="120">
        <v>-308</v>
      </c>
      <c r="G17" s="121">
        <v>-0.24</v>
      </c>
      <c r="H17" s="122">
        <v>-0.24</v>
      </c>
      <c r="I17" s="117"/>
      <c r="J17" s="117"/>
      <c r="K17" s="117"/>
      <c r="L17" s="117"/>
      <c r="M17" s="117"/>
      <c r="N17" s="117"/>
    </row>
    <row r="18" spans="2:14" ht="24">
      <c r="B18" s="89"/>
      <c r="C18" s="90" t="s">
        <v>133</v>
      </c>
      <c r="D18" s="113" t="s">
        <v>112</v>
      </c>
      <c r="E18" s="119">
        <f>E9-M9</f>
        <v>44</v>
      </c>
      <c r="F18" s="120">
        <v>30</v>
      </c>
      <c r="G18" s="121">
        <v>0.02</v>
      </c>
      <c r="H18" s="122">
        <v>0.02</v>
      </c>
      <c r="I18" s="123"/>
      <c r="J18" s="123"/>
      <c r="K18" s="124"/>
      <c r="L18" s="124"/>
      <c r="M18" s="124"/>
      <c r="N18" s="124"/>
    </row>
    <row r="19" spans="2:14">
      <c r="B19" s="89"/>
      <c r="C19" s="90" t="s">
        <v>120</v>
      </c>
      <c r="D19" s="125" t="s">
        <v>113</v>
      </c>
      <c r="E19" s="119">
        <f>E10-M10</f>
        <v>3</v>
      </c>
      <c r="F19" s="120">
        <v>2</v>
      </c>
      <c r="G19" s="126">
        <v>0</v>
      </c>
      <c r="H19" s="127">
        <v>0</v>
      </c>
      <c r="I19" s="128"/>
      <c r="J19" s="128"/>
      <c r="K19" s="129"/>
      <c r="L19" s="124"/>
      <c r="M19" s="124"/>
      <c r="N19" s="124"/>
    </row>
    <row r="20" spans="2:14">
      <c r="B20" s="89"/>
      <c r="C20" s="90" t="s">
        <v>134</v>
      </c>
      <c r="D20" s="113" t="s">
        <v>121</v>
      </c>
      <c r="E20" s="119">
        <f>E11-M11</f>
        <v>17</v>
      </c>
      <c r="F20" s="120">
        <v>11</v>
      </c>
      <c r="G20" s="130">
        <v>0.01</v>
      </c>
      <c r="H20" s="122">
        <v>0.01</v>
      </c>
      <c r="I20" s="128"/>
      <c r="J20" s="128"/>
      <c r="K20" s="129"/>
      <c r="L20" s="124"/>
      <c r="M20" s="124"/>
      <c r="N20" s="124"/>
    </row>
    <row r="21" spans="2:14" ht="12.75" thickBot="1">
      <c r="B21" s="443" t="s">
        <v>115</v>
      </c>
      <c r="C21" s="444"/>
      <c r="D21" s="131"/>
      <c r="E21" s="132">
        <f>SUM(E16:E20)</f>
        <v>165</v>
      </c>
      <c r="F21" s="132">
        <f>SUM(F16:F20)</f>
        <v>116</v>
      </c>
      <c r="G21" s="133">
        <v>0.09</v>
      </c>
      <c r="H21" s="134">
        <v>0.09</v>
      </c>
      <c r="I21" s="135"/>
      <c r="J21" s="105"/>
      <c r="K21" s="105"/>
      <c r="L21" s="105"/>
      <c r="M21" s="105"/>
      <c r="N21" s="105"/>
    </row>
    <row r="22" spans="2:14" ht="4.5" customHeight="1" thickTop="1" thickBot="1">
      <c r="B22" s="136"/>
      <c r="C22" s="137"/>
      <c r="D22" s="138"/>
      <c r="E22" s="139"/>
      <c r="F22" s="139"/>
      <c r="G22" s="139"/>
      <c r="H22" s="140"/>
      <c r="I22" s="104"/>
      <c r="J22" s="105"/>
      <c r="K22" s="105"/>
      <c r="L22" s="105"/>
      <c r="M22" s="105"/>
      <c r="N22" s="105"/>
    </row>
    <row r="24" spans="2:14" ht="12.75" thickBot="1"/>
    <row r="25" spans="2:14" ht="60">
      <c r="B25" s="448" t="s">
        <v>132</v>
      </c>
      <c r="C25" s="449"/>
      <c r="D25" s="81"/>
      <c r="E25" s="82" t="s">
        <v>101</v>
      </c>
      <c r="F25" s="82" t="s">
        <v>102</v>
      </c>
      <c r="G25" s="82" t="s">
        <v>214</v>
      </c>
      <c r="H25" s="82" t="s">
        <v>103</v>
      </c>
      <c r="I25" s="82" t="s">
        <v>104</v>
      </c>
      <c r="J25" s="82" t="s">
        <v>105</v>
      </c>
      <c r="K25" s="82" t="s">
        <v>106</v>
      </c>
      <c r="L25" s="82" t="s">
        <v>107</v>
      </c>
      <c r="M25" s="83" t="s">
        <v>108</v>
      </c>
    </row>
    <row r="26" spans="2:14">
      <c r="B26" s="450" t="s">
        <v>109</v>
      </c>
      <c r="C26" s="451"/>
      <c r="D26" s="85"/>
      <c r="E26" s="86">
        <v>967</v>
      </c>
      <c r="F26" s="86">
        <v>235</v>
      </c>
      <c r="G26" s="86">
        <f>53+2</f>
        <v>55</v>
      </c>
      <c r="H26" s="86">
        <v>51</v>
      </c>
      <c r="I26" s="86">
        <v>29</v>
      </c>
      <c r="J26" s="86">
        <f>99-2</f>
        <v>97</v>
      </c>
      <c r="K26" s="86">
        <v>125</v>
      </c>
      <c r="L26" s="86">
        <v>75</v>
      </c>
      <c r="M26" s="87">
        <f>SUM(F26:L26)</f>
        <v>667</v>
      </c>
    </row>
    <row r="27" spans="2:14" ht="12" customHeight="1">
      <c r="B27" s="89"/>
      <c r="C27" s="90" t="s">
        <v>49</v>
      </c>
      <c r="D27" s="85" t="s">
        <v>111</v>
      </c>
      <c r="E27" s="91">
        <v>-284</v>
      </c>
      <c r="F27" s="91">
        <v>-68</v>
      </c>
      <c r="G27" s="91">
        <v>0</v>
      </c>
      <c r="H27" s="91">
        <v>13</v>
      </c>
      <c r="I27" s="91">
        <v>-2</v>
      </c>
      <c r="J27" s="91">
        <v>0</v>
      </c>
      <c r="K27" s="91">
        <v>0</v>
      </c>
      <c r="L27" s="91">
        <v>0</v>
      </c>
      <c r="M27" s="92">
        <v>-57</v>
      </c>
    </row>
    <row r="28" spans="2:14" ht="24">
      <c r="B28" s="89"/>
      <c r="C28" s="90" t="s">
        <v>133</v>
      </c>
      <c r="D28" s="85" t="s">
        <v>112</v>
      </c>
      <c r="E28" s="93">
        <v>0</v>
      </c>
      <c r="F28" s="93">
        <v>0</v>
      </c>
      <c r="G28" s="93">
        <v>0</v>
      </c>
      <c r="H28" s="93">
        <v>-12</v>
      </c>
      <c r="I28" s="93">
        <v>0</v>
      </c>
      <c r="J28" s="93">
        <v>6</v>
      </c>
      <c r="K28" s="93">
        <v>-2</v>
      </c>
      <c r="L28" s="93">
        <v>-9</v>
      </c>
      <c r="M28" s="94">
        <v>-17</v>
      </c>
    </row>
    <row r="29" spans="2:14">
      <c r="B29" s="89"/>
      <c r="C29" s="90" t="s">
        <v>120</v>
      </c>
      <c r="D29" s="95" t="s">
        <v>113</v>
      </c>
      <c r="E29" s="93">
        <v>0</v>
      </c>
      <c r="F29" s="93">
        <v>0</v>
      </c>
      <c r="G29" s="93">
        <v>0</v>
      </c>
      <c r="H29" s="93">
        <v>0</v>
      </c>
      <c r="I29" s="93">
        <v>0</v>
      </c>
      <c r="J29" s="93">
        <v>0</v>
      </c>
      <c r="K29" s="93">
        <v>0</v>
      </c>
      <c r="L29" s="93">
        <v>-1</v>
      </c>
      <c r="M29" s="94">
        <v>-1</v>
      </c>
    </row>
    <row r="30" spans="2:14">
      <c r="B30" s="89"/>
      <c r="C30" s="90" t="s">
        <v>165</v>
      </c>
      <c r="D30" s="85" t="s">
        <v>121</v>
      </c>
      <c r="E30" s="203">
        <v>0</v>
      </c>
      <c r="F30" s="203">
        <v>-1</v>
      </c>
      <c r="G30" s="203">
        <v>0</v>
      </c>
      <c r="H30" s="203">
        <v>0</v>
      </c>
      <c r="I30" s="203">
        <v>-9</v>
      </c>
      <c r="J30" s="203">
        <v>0</v>
      </c>
      <c r="K30" s="203">
        <v>0</v>
      </c>
      <c r="L30" s="203">
        <v>0</v>
      </c>
      <c r="M30" s="204">
        <v>-10</v>
      </c>
    </row>
    <row r="31" spans="2:14" ht="12.75" thickBot="1">
      <c r="B31" s="443" t="s">
        <v>115</v>
      </c>
      <c r="C31" s="444"/>
      <c r="D31" s="96"/>
      <c r="E31" s="97">
        <v>683</v>
      </c>
      <c r="F31" s="97">
        <v>166</v>
      </c>
      <c r="G31" s="97">
        <v>55</v>
      </c>
      <c r="H31" s="97">
        <v>52</v>
      </c>
      <c r="I31" s="97">
        <v>18</v>
      </c>
      <c r="J31" s="97">
        <v>103</v>
      </c>
      <c r="K31" s="97">
        <v>123</v>
      </c>
      <c r="L31" s="97">
        <v>65</v>
      </c>
      <c r="M31" s="98">
        <v>582</v>
      </c>
    </row>
    <row r="32" spans="2:14" ht="4.5" customHeight="1" thickTop="1" thickBot="1">
      <c r="B32" s="99"/>
      <c r="C32" s="100"/>
      <c r="D32" s="101"/>
      <c r="E32" s="100"/>
      <c r="F32" s="102"/>
      <c r="G32" s="102"/>
      <c r="H32" s="102"/>
      <c r="I32" s="102"/>
      <c r="J32" s="102"/>
      <c r="K32" s="102"/>
      <c r="L32" s="102"/>
      <c r="M32" s="103"/>
    </row>
    <row r="33" spans="2:13" ht="13.5" thickBot="1">
      <c r="B33" s="141"/>
      <c r="C33" s="142"/>
      <c r="D33" s="143"/>
      <c r="E33" s="142"/>
      <c r="F33" s="142"/>
      <c r="G33" s="142"/>
      <c r="H33" s="142"/>
      <c r="I33" s="142"/>
      <c r="J33" s="142"/>
      <c r="K33" s="142"/>
      <c r="L33" s="142"/>
      <c r="M33" s="142"/>
    </row>
    <row r="34" spans="2:13" ht="60">
      <c r="B34" s="448" t="s">
        <v>132</v>
      </c>
      <c r="C34" s="449"/>
      <c r="D34" s="107"/>
      <c r="E34" s="108" t="s">
        <v>122</v>
      </c>
      <c r="F34" s="108" t="s">
        <v>123</v>
      </c>
      <c r="G34" s="108" t="s">
        <v>118</v>
      </c>
      <c r="H34" s="109" t="s">
        <v>119</v>
      </c>
      <c r="I34" s="144"/>
      <c r="J34" s="145"/>
      <c r="K34" s="146"/>
      <c r="L34" s="141"/>
      <c r="M34" s="141"/>
    </row>
    <row r="35" spans="2:13" ht="12.75">
      <c r="B35" s="440" t="s">
        <v>109</v>
      </c>
      <c r="C35" s="441"/>
      <c r="D35" s="113"/>
      <c r="E35" s="114">
        <v>300</v>
      </c>
      <c r="F35" s="114">
        <v>219</v>
      </c>
      <c r="G35" s="115">
        <v>0.17635222099911163</v>
      </c>
      <c r="H35" s="116">
        <v>0.17414140342614404</v>
      </c>
      <c r="I35" s="147"/>
      <c r="J35" s="148"/>
      <c r="K35" s="146"/>
      <c r="L35" s="141"/>
      <c r="M35" s="141"/>
    </row>
    <row r="36" spans="2:13" ht="12" customHeight="1">
      <c r="B36" s="89"/>
      <c r="C36" s="90" t="s">
        <v>49</v>
      </c>
      <c r="D36" s="113" t="s">
        <v>111</v>
      </c>
      <c r="E36" s="119">
        <v>-227</v>
      </c>
      <c r="F36" s="120">
        <v>-165</v>
      </c>
      <c r="G36" s="121">
        <v>-0.13296949690624998</v>
      </c>
      <c r="H36" s="122">
        <v>-0.13131570573786891</v>
      </c>
      <c r="I36" s="147"/>
      <c r="J36" s="147"/>
      <c r="K36" s="147"/>
      <c r="L36" s="147"/>
      <c r="M36" s="149"/>
    </row>
    <row r="37" spans="2:13" ht="24">
      <c r="B37" s="89"/>
      <c r="C37" s="90" t="s">
        <v>133</v>
      </c>
      <c r="D37" s="113" t="s">
        <v>112</v>
      </c>
      <c r="E37" s="119">
        <v>17</v>
      </c>
      <c r="F37" s="120">
        <v>12</v>
      </c>
      <c r="G37" s="121">
        <v>9.709487035933724E-3</v>
      </c>
      <c r="H37" s="122">
        <v>9.5887265285757167E-3</v>
      </c>
      <c r="I37" s="150"/>
      <c r="J37" s="150"/>
      <c r="K37" s="149"/>
      <c r="L37" s="149"/>
      <c r="M37" s="149"/>
    </row>
    <row r="38" spans="2:13" ht="12.75">
      <c r="B38" s="89"/>
      <c r="C38" s="90" t="s">
        <v>120</v>
      </c>
      <c r="D38" s="125" t="s">
        <v>113</v>
      </c>
      <c r="E38" s="119">
        <v>1</v>
      </c>
      <c r="F38" s="120">
        <v>0</v>
      </c>
      <c r="G38" s="151">
        <v>0</v>
      </c>
      <c r="H38" s="127">
        <v>0</v>
      </c>
      <c r="I38" s="152"/>
      <c r="J38" s="152"/>
      <c r="K38" s="153"/>
      <c r="L38" s="149"/>
      <c r="M38" s="149"/>
    </row>
    <row r="39" spans="2:13" ht="12.75">
      <c r="B39" s="89"/>
      <c r="C39" s="90" t="s">
        <v>134</v>
      </c>
      <c r="D39" s="113" t="s">
        <v>121</v>
      </c>
      <c r="E39" s="119">
        <v>10</v>
      </c>
      <c r="F39" s="120">
        <v>6</v>
      </c>
      <c r="G39" s="130">
        <v>4.8293850201945451E-3</v>
      </c>
      <c r="H39" s="122">
        <v>4.7693201595991816E-3</v>
      </c>
      <c r="I39" s="152"/>
      <c r="J39" s="152"/>
      <c r="K39" s="153"/>
      <c r="L39" s="149"/>
      <c r="M39" s="149"/>
    </row>
    <row r="40" spans="2:13" ht="13.5" thickBot="1">
      <c r="B40" s="443" t="s">
        <v>115</v>
      </c>
      <c r="C40" s="444"/>
      <c r="D40" s="131"/>
      <c r="E40" s="132">
        <v>101</v>
      </c>
      <c r="F40" s="132">
        <v>72</v>
      </c>
      <c r="G40" s="133">
        <v>5.8184469364824298E-2</v>
      </c>
      <c r="H40" s="134">
        <v>5.7460807443772369E-2</v>
      </c>
      <c r="I40" s="154"/>
      <c r="J40" s="142"/>
      <c r="K40" s="142"/>
      <c r="L40" s="142"/>
    </row>
    <row r="41" spans="2:13" ht="4.5" customHeight="1" thickTop="1" thickBot="1">
      <c r="B41" s="136"/>
      <c r="C41" s="137"/>
      <c r="D41" s="138"/>
      <c r="E41" s="139"/>
      <c r="F41" s="139"/>
      <c r="G41" s="139"/>
      <c r="H41" s="140"/>
      <c r="I41" s="141"/>
      <c r="J41" s="142"/>
      <c r="K41" s="142"/>
      <c r="L41" s="142"/>
    </row>
    <row r="43" spans="2:13" ht="12.75" thickBot="1"/>
    <row r="44" spans="2:13" ht="60">
      <c r="B44" s="448" t="s">
        <v>35</v>
      </c>
      <c r="C44" s="449"/>
      <c r="D44" s="81"/>
      <c r="E44" s="82" t="s">
        <v>101</v>
      </c>
      <c r="F44" s="82" t="s">
        <v>102</v>
      </c>
      <c r="G44" s="82" t="s">
        <v>214</v>
      </c>
      <c r="H44" s="82" t="s">
        <v>103</v>
      </c>
      <c r="I44" s="82" t="s">
        <v>104</v>
      </c>
      <c r="J44" s="82" t="s">
        <v>105</v>
      </c>
      <c r="K44" s="82" t="s">
        <v>106</v>
      </c>
      <c r="L44" s="82" t="s">
        <v>107</v>
      </c>
      <c r="M44" s="83" t="s">
        <v>108</v>
      </c>
    </row>
    <row r="45" spans="2:13">
      <c r="B45" s="450" t="s">
        <v>109</v>
      </c>
      <c r="C45" s="451"/>
      <c r="D45" s="85"/>
      <c r="E45" s="86">
        <v>745</v>
      </c>
      <c r="F45" s="86">
        <v>194</v>
      </c>
      <c r="G45" s="86">
        <f>61+3</f>
        <v>64</v>
      </c>
      <c r="H45" s="86">
        <v>61</v>
      </c>
      <c r="I45" s="86">
        <v>33</v>
      </c>
      <c r="J45" s="86">
        <f>118-3</f>
        <v>115</v>
      </c>
      <c r="K45" s="86">
        <v>110</v>
      </c>
      <c r="L45" s="86">
        <v>113</v>
      </c>
      <c r="M45" s="87">
        <v>690</v>
      </c>
    </row>
    <row r="46" spans="2:13" ht="12" customHeight="1">
      <c r="B46" s="89"/>
      <c r="C46" s="90" t="s">
        <v>49</v>
      </c>
      <c r="D46" s="85" t="s">
        <v>111</v>
      </c>
      <c r="E46" s="91">
        <v>112</v>
      </c>
      <c r="F46" s="91">
        <v>3</v>
      </c>
      <c r="G46" s="91">
        <v>0</v>
      </c>
      <c r="H46" s="91">
        <v>8</v>
      </c>
      <c r="I46" s="91">
        <v>4</v>
      </c>
      <c r="J46" s="91">
        <v>0</v>
      </c>
      <c r="K46" s="91">
        <v>0</v>
      </c>
      <c r="L46" s="91">
        <v>0</v>
      </c>
      <c r="M46" s="92">
        <v>15</v>
      </c>
    </row>
    <row r="47" spans="2:13">
      <c r="B47" s="89"/>
      <c r="C47" s="90" t="s">
        <v>50</v>
      </c>
      <c r="D47" s="85" t="s">
        <v>112</v>
      </c>
      <c r="E47" s="93">
        <v>0</v>
      </c>
      <c r="F47" s="93">
        <v>0</v>
      </c>
      <c r="G47" s="93">
        <v>0</v>
      </c>
      <c r="H47" s="93">
        <v>-11</v>
      </c>
      <c r="I47" s="93">
        <v>0</v>
      </c>
      <c r="J47" s="93">
        <v>-6</v>
      </c>
      <c r="K47" s="93">
        <v>-2</v>
      </c>
      <c r="L47" s="93">
        <v>-15</v>
      </c>
      <c r="M47" s="94">
        <v>-34</v>
      </c>
    </row>
    <row r="48" spans="2:13" ht="24">
      <c r="B48" s="89"/>
      <c r="C48" s="90" t="s">
        <v>52</v>
      </c>
      <c r="D48" s="85" t="s">
        <v>114</v>
      </c>
      <c r="E48" s="203">
        <v>0</v>
      </c>
      <c r="F48" s="203">
        <v>-1</v>
      </c>
      <c r="G48" s="203">
        <v>0</v>
      </c>
      <c r="H48" s="203">
        <v>-5</v>
      </c>
      <c r="I48" s="203">
        <v>-12</v>
      </c>
      <c r="J48" s="203">
        <v>0</v>
      </c>
      <c r="K48" s="203">
        <v>0</v>
      </c>
      <c r="L48" s="203">
        <v>0</v>
      </c>
      <c r="M48" s="204">
        <v>-18</v>
      </c>
    </row>
    <row r="49" spans="2:14" ht="12.75" thickBot="1">
      <c r="B49" s="443" t="s">
        <v>115</v>
      </c>
      <c r="C49" s="444"/>
      <c r="D49" s="96"/>
      <c r="E49" s="97">
        <v>857</v>
      </c>
      <c r="F49" s="97">
        <v>196</v>
      </c>
      <c r="G49" s="97">
        <v>64</v>
      </c>
      <c r="H49" s="97">
        <v>53</v>
      </c>
      <c r="I49" s="97">
        <v>25</v>
      </c>
      <c r="J49" s="97">
        <v>109</v>
      </c>
      <c r="K49" s="97">
        <v>108</v>
      </c>
      <c r="L49" s="97">
        <v>98</v>
      </c>
      <c r="M49" s="98">
        <v>653</v>
      </c>
    </row>
    <row r="50" spans="2:14" ht="4.5" customHeight="1" thickTop="1" thickBot="1">
      <c r="B50" s="99"/>
      <c r="C50" s="100"/>
      <c r="D50" s="101"/>
      <c r="E50" s="100"/>
      <c r="F50" s="102"/>
      <c r="G50" s="102"/>
      <c r="H50" s="102"/>
      <c r="I50" s="102"/>
      <c r="J50" s="102"/>
      <c r="K50" s="102"/>
      <c r="L50" s="102"/>
      <c r="M50" s="103"/>
    </row>
    <row r="51" spans="2:14" ht="12.75" thickBot="1">
      <c r="B51" s="155"/>
      <c r="C51" s="156"/>
      <c r="D51" s="157"/>
      <c r="E51" s="158"/>
      <c r="F51" s="158"/>
      <c r="G51" s="158"/>
      <c r="H51" s="158"/>
      <c r="I51" s="158"/>
      <c r="J51" s="158"/>
      <c r="K51" s="158"/>
      <c r="L51" s="158"/>
      <c r="M51" s="158"/>
    </row>
    <row r="52" spans="2:14" ht="48">
      <c r="B52" s="448" t="s">
        <v>35</v>
      </c>
      <c r="C52" s="449"/>
      <c r="D52" s="107"/>
      <c r="E52" s="108" t="s">
        <v>122</v>
      </c>
      <c r="F52" s="108" t="s">
        <v>123</v>
      </c>
      <c r="G52" s="108" t="s">
        <v>124</v>
      </c>
      <c r="H52" s="109" t="s">
        <v>125</v>
      </c>
      <c r="I52" s="159"/>
      <c r="J52" s="160"/>
      <c r="K52" s="161"/>
      <c r="L52" s="162"/>
      <c r="M52" s="162"/>
    </row>
    <row r="53" spans="2:14">
      <c r="B53" s="440" t="s">
        <v>109</v>
      </c>
      <c r="C53" s="441"/>
      <c r="D53" s="113"/>
      <c r="E53" s="114">
        <v>55</v>
      </c>
      <c r="F53" s="114">
        <v>51</v>
      </c>
      <c r="G53" s="115">
        <v>4.1642141444601218E-2</v>
      </c>
      <c r="H53" s="116">
        <v>4.1136438942310484E-2</v>
      </c>
      <c r="I53" s="163"/>
      <c r="J53" s="164"/>
      <c r="K53" s="161"/>
      <c r="L53" s="162"/>
      <c r="M53" s="162"/>
    </row>
    <row r="54" spans="2:14" ht="12" customHeight="1">
      <c r="B54" s="89"/>
      <c r="C54" s="90" t="s">
        <v>49</v>
      </c>
      <c r="D54" s="113" t="s">
        <v>111</v>
      </c>
      <c r="E54" s="119">
        <v>97</v>
      </c>
      <c r="F54" s="120">
        <v>81</v>
      </c>
      <c r="G54" s="121">
        <v>7.0000000000000007E-2</v>
      </c>
      <c r="H54" s="122">
        <v>7.0000000000000007E-2</v>
      </c>
      <c r="I54" s="163"/>
      <c r="J54" s="163"/>
      <c r="K54" s="163"/>
      <c r="L54" s="163"/>
      <c r="M54" s="165"/>
    </row>
    <row r="55" spans="2:14">
      <c r="B55" s="89"/>
      <c r="C55" s="90" t="s">
        <v>50</v>
      </c>
      <c r="D55" s="113" t="s">
        <v>112</v>
      </c>
      <c r="E55" s="119">
        <v>34</v>
      </c>
      <c r="F55" s="120">
        <v>21</v>
      </c>
      <c r="G55" s="121">
        <v>0.02</v>
      </c>
      <c r="H55" s="122">
        <v>0.02</v>
      </c>
      <c r="I55" s="166"/>
      <c r="J55" s="166"/>
      <c r="K55" s="165"/>
      <c r="L55" s="165"/>
      <c r="M55" s="165"/>
    </row>
    <row r="56" spans="2:14" ht="24">
      <c r="B56" s="89"/>
      <c r="C56" s="90" t="s">
        <v>52</v>
      </c>
      <c r="D56" s="113" t="s">
        <v>114</v>
      </c>
      <c r="E56" s="119">
        <v>18</v>
      </c>
      <c r="F56" s="120">
        <v>-5</v>
      </c>
      <c r="G56" s="130">
        <v>0</v>
      </c>
      <c r="H56" s="122">
        <v>0</v>
      </c>
      <c r="I56" s="167"/>
      <c r="J56" s="167"/>
      <c r="K56" s="168"/>
      <c r="L56" s="165"/>
      <c r="M56" s="165"/>
    </row>
    <row r="57" spans="2:14" ht="12.75" thickBot="1">
      <c r="B57" s="443" t="s">
        <v>115</v>
      </c>
      <c r="C57" s="444"/>
      <c r="D57" s="131"/>
      <c r="E57" s="132">
        <v>204</v>
      </c>
      <c r="F57" s="132">
        <v>148</v>
      </c>
      <c r="G57" s="133">
        <v>0.12</v>
      </c>
      <c r="H57" s="134">
        <v>0.12</v>
      </c>
      <c r="I57" s="169"/>
      <c r="J57" s="158"/>
      <c r="K57" s="158"/>
      <c r="L57" s="158"/>
      <c r="M57" s="158"/>
    </row>
    <row r="58" spans="2:14" ht="4.5" customHeight="1" thickTop="1" thickBot="1">
      <c r="B58" s="136"/>
      <c r="C58" s="137"/>
      <c r="D58" s="138"/>
      <c r="E58" s="139"/>
      <c r="F58" s="139"/>
      <c r="G58" s="139"/>
      <c r="H58" s="140"/>
      <c r="I58" s="162"/>
      <c r="J58" s="158"/>
      <c r="K58" s="158"/>
      <c r="L58" s="158"/>
      <c r="M58" s="158"/>
    </row>
    <row r="59" spans="2:14">
      <c r="B59" s="104"/>
      <c r="C59" s="104"/>
      <c r="D59" s="170"/>
      <c r="E59" s="104"/>
      <c r="F59" s="104"/>
      <c r="G59" s="104"/>
      <c r="H59" s="104"/>
      <c r="I59" s="162"/>
      <c r="J59" s="158"/>
      <c r="K59" s="158"/>
      <c r="L59" s="158"/>
    </row>
    <row r="60" spans="2:14" ht="12.75" thickBot="1"/>
    <row r="61" spans="2:14" ht="60">
      <c r="B61" s="171" t="s">
        <v>36</v>
      </c>
      <c r="C61" s="172"/>
      <c r="D61" s="173"/>
      <c r="E61" s="82" t="s">
        <v>101</v>
      </c>
      <c r="F61" s="82" t="s">
        <v>102</v>
      </c>
      <c r="G61" s="82" t="s">
        <v>214</v>
      </c>
      <c r="H61" s="82" t="s">
        <v>103</v>
      </c>
      <c r="I61" s="82" t="s">
        <v>104</v>
      </c>
      <c r="J61" s="82" t="s">
        <v>105</v>
      </c>
      <c r="K61" s="82" t="s">
        <v>106</v>
      </c>
      <c r="L61" s="82" t="s">
        <v>107</v>
      </c>
      <c r="M61" s="82" t="s">
        <v>130</v>
      </c>
      <c r="N61" s="83" t="s">
        <v>108</v>
      </c>
    </row>
    <row r="62" spans="2:14">
      <c r="B62" s="174" t="s">
        <v>109</v>
      </c>
      <c r="C62" s="175"/>
      <c r="D62" s="176"/>
      <c r="E62" s="114">
        <v>1427</v>
      </c>
      <c r="F62" s="114">
        <v>585</v>
      </c>
      <c r="G62" s="114">
        <f>73+3</f>
        <v>76</v>
      </c>
      <c r="H62" s="114">
        <v>128</v>
      </c>
      <c r="I62" s="114">
        <v>92</v>
      </c>
      <c r="J62" s="114">
        <f>273-3</f>
        <v>270</v>
      </c>
      <c r="K62" s="114">
        <v>225</v>
      </c>
      <c r="L62" s="114">
        <v>122</v>
      </c>
      <c r="M62" s="114">
        <v>326</v>
      </c>
      <c r="N62" s="177">
        <f t="shared" ref="N62:N67" si="1">SUM(F62:M62)</f>
        <v>1824</v>
      </c>
    </row>
    <row r="63" spans="2:14" ht="12" customHeight="1">
      <c r="B63" s="89"/>
      <c r="C63" s="90" t="s">
        <v>49</v>
      </c>
      <c r="D63" s="113" t="s">
        <v>111</v>
      </c>
      <c r="E63" s="120">
        <v>1121</v>
      </c>
      <c r="F63" s="120">
        <v>200</v>
      </c>
      <c r="G63" s="126">
        <v>0</v>
      </c>
      <c r="H63" s="120">
        <v>45</v>
      </c>
      <c r="I63" s="120">
        <v>17</v>
      </c>
      <c r="J63" s="126">
        <v>0</v>
      </c>
      <c r="K63" s="126">
        <v>0</v>
      </c>
      <c r="L63" s="126">
        <v>0</v>
      </c>
      <c r="M63" s="126">
        <v>0</v>
      </c>
      <c r="N63" s="178">
        <f t="shared" si="1"/>
        <v>262</v>
      </c>
    </row>
    <row r="64" spans="2:14">
      <c r="B64" s="89"/>
      <c r="C64" s="90" t="s">
        <v>50</v>
      </c>
      <c r="D64" s="113" t="s">
        <v>112</v>
      </c>
      <c r="E64" s="179">
        <v>0</v>
      </c>
      <c r="F64" s="126">
        <v>0</v>
      </c>
      <c r="G64" s="126">
        <v>0</v>
      </c>
      <c r="H64" s="120">
        <f>+-14</f>
        <v>-14</v>
      </c>
      <c r="I64" s="126">
        <v>0</v>
      </c>
      <c r="J64" s="120">
        <v>-8</v>
      </c>
      <c r="K64" s="120">
        <v>-2</v>
      </c>
      <c r="L64" s="120">
        <v>-13</v>
      </c>
      <c r="M64" s="126">
        <v>0</v>
      </c>
      <c r="N64" s="178">
        <f t="shared" si="1"/>
        <v>-37</v>
      </c>
    </row>
    <row r="65" spans="2:14">
      <c r="B65" s="89"/>
      <c r="C65" s="90" t="s">
        <v>120</v>
      </c>
      <c r="D65" s="113" t="s">
        <v>113</v>
      </c>
      <c r="E65" s="126">
        <v>0</v>
      </c>
      <c r="F65" s="126">
        <v>0</v>
      </c>
      <c r="G65" s="126">
        <v>0</v>
      </c>
      <c r="H65" s="126">
        <v>0</v>
      </c>
      <c r="I65" s="126">
        <v>0</v>
      </c>
      <c r="J65" s="126">
        <v>0</v>
      </c>
      <c r="K65" s="126">
        <v>0</v>
      </c>
      <c r="L65" s="120">
        <v>1</v>
      </c>
      <c r="M65" s="126">
        <v>0</v>
      </c>
      <c r="N65" s="178">
        <f t="shared" si="1"/>
        <v>1</v>
      </c>
    </row>
    <row r="66" spans="2:14" ht="24">
      <c r="B66" s="89"/>
      <c r="C66" s="90" t="s">
        <v>52</v>
      </c>
      <c r="D66" s="85" t="s">
        <v>114</v>
      </c>
      <c r="E66" s="151">
        <v>0</v>
      </c>
      <c r="F66" s="120">
        <v>-2</v>
      </c>
      <c r="G66" s="126">
        <v>0</v>
      </c>
      <c r="H66" s="120">
        <v>-6</v>
      </c>
      <c r="I66" s="120">
        <v>-69</v>
      </c>
      <c r="J66" s="126">
        <v>0</v>
      </c>
      <c r="K66" s="126">
        <v>0</v>
      </c>
      <c r="L66" s="126">
        <v>0</v>
      </c>
      <c r="M66" s="126">
        <v>0</v>
      </c>
      <c r="N66" s="178">
        <f t="shared" si="1"/>
        <v>-77</v>
      </c>
    </row>
    <row r="67" spans="2:14">
      <c r="B67" s="89"/>
      <c r="C67" s="90" t="s">
        <v>53</v>
      </c>
      <c r="D67" s="113" t="s">
        <v>166</v>
      </c>
      <c r="E67" s="126">
        <v>0</v>
      </c>
      <c r="F67" s="126">
        <v>0</v>
      </c>
      <c r="G67" s="126">
        <v>0</v>
      </c>
      <c r="H67" s="126">
        <v>0</v>
      </c>
      <c r="I67" s="126">
        <v>0</v>
      </c>
      <c r="J67" s="126">
        <v>0</v>
      </c>
      <c r="K67" s="126">
        <v>0</v>
      </c>
      <c r="L67" s="126">
        <v>0</v>
      </c>
      <c r="M67" s="120">
        <v>-326</v>
      </c>
      <c r="N67" s="178">
        <f t="shared" si="1"/>
        <v>-326</v>
      </c>
    </row>
    <row r="68" spans="2:14" ht="12.75" thickBot="1">
      <c r="B68" s="180" t="s">
        <v>115</v>
      </c>
      <c r="C68" s="181"/>
      <c r="D68" s="182"/>
      <c r="E68" s="132">
        <f t="shared" ref="E68:N68" si="2">SUM(E62:E67)</f>
        <v>2548</v>
      </c>
      <c r="F68" s="132">
        <f t="shared" si="2"/>
        <v>783</v>
      </c>
      <c r="G68" s="132">
        <f t="shared" si="2"/>
        <v>76</v>
      </c>
      <c r="H68" s="132">
        <f t="shared" si="2"/>
        <v>153</v>
      </c>
      <c r="I68" s="132">
        <f t="shared" si="2"/>
        <v>40</v>
      </c>
      <c r="J68" s="132">
        <f t="shared" si="2"/>
        <v>262</v>
      </c>
      <c r="K68" s="132">
        <f t="shared" si="2"/>
        <v>223</v>
      </c>
      <c r="L68" s="132">
        <f t="shared" si="2"/>
        <v>110</v>
      </c>
      <c r="M68" s="132">
        <f t="shared" si="2"/>
        <v>0</v>
      </c>
      <c r="N68" s="183">
        <f t="shared" si="2"/>
        <v>1647</v>
      </c>
    </row>
    <row r="69" spans="2:14" ht="4.5" customHeight="1" thickTop="1" thickBot="1">
      <c r="B69" s="184"/>
      <c r="C69" s="185"/>
      <c r="D69" s="186"/>
      <c r="E69" s="185"/>
      <c r="F69" s="102"/>
      <c r="G69" s="102"/>
      <c r="H69" s="102"/>
      <c r="I69" s="102"/>
      <c r="J69" s="102"/>
      <c r="K69" s="102"/>
      <c r="L69" s="102"/>
      <c r="M69" s="102"/>
      <c r="N69" s="103"/>
    </row>
    <row r="70" spans="2:14" ht="12.75" thickBot="1">
      <c r="B70" s="187"/>
      <c r="C70" s="188"/>
      <c r="D70" s="189"/>
      <c r="E70" s="188"/>
      <c r="F70" s="188"/>
      <c r="G70" s="188"/>
      <c r="H70" s="188"/>
      <c r="I70" s="188"/>
      <c r="J70" s="188"/>
      <c r="K70" s="188"/>
      <c r="L70" s="188"/>
      <c r="M70" s="188"/>
      <c r="N70" s="188"/>
    </row>
    <row r="71" spans="2:14" ht="60">
      <c r="B71" s="190" t="str">
        <f>B61</f>
        <v>Three Months Ended December 31, 2010</v>
      </c>
      <c r="C71" s="191"/>
      <c r="D71" s="107"/>
      <c r="E71" s="108" t="s">
        <v>116</v>
      </c>
      <c r="F71" s="108" t="s">
        <v>117</v>
      </c>
      <c r="G71" s="108" t="s">
        <v>118</v>
      </c>
      <c r="H71" s="109" t="s">
        <v>119</v>
      </c>
      <c r="I71" s="159"/>
      <c r="J71" s="160"/>
      <c r="K71" s="161"/>
      <c r="L71" s="162"/>
      <c r="M71" s="162"/>
      <c r="N71" s="162"/>
    </row>
    <row r="72" spans="2:14">
      <c r="B72" s="174" t="s">
        <v>109</v>
      </c>
      <c r="C72" s="175"/>
      <c r="D72" s="113"/>
      <c r="E72" s="114">
        <f t="shared" ref="E72:E77" si="3">E62-N62</f>
        <v>-397</v>
      </c>
      <c r="F72" s="114">
        <v>-233</v>
      </c>
      <c r="G72" s="115">
        <v>-0.2</v>
      </c>
      <c r="H72" s="116">
        <v>-0.2</v>
      </c>
      <c r="I72" s="163"/>
      <c r="J72" s="164"/>
      <c r="K72" s="161"/>
      <c r="L72" s="162"/>
      <c r="M72" s="162"/>
      <c r="N72" s="162"/>
    </row>
    <row r="73" spans="2:14" ht="12" customHeight="1">
      <c r="B73" s="89"/>
      <c r="C73" s="90" t="s">
        <v>49</v>
      </c>
      <c r="D73" s="113" t="s">
        <v>111</v>
      </c>
      <c r="E73" s="119">
        <f t="shared" si="3"/>
        <v>859</v>
      </c>
      <c r="F73" s="120">
        <v>628</v>
      </c>
      <c r="G73" s="121">
        <v>0.52</v>
      </c>
      <c r="H73" s="122">
        <v>0.51</v>
      </c>
      <c r="I73" s="163"/>
      <c r="J73" s="163"/>
      <c r="K73" s="163"/>
      <c r="L73" s="163"/>
      <c r="M73" s="163"/>
      <c r="N73" s="165"/>
    </row>
    <row r="74" spans="2:14">
      <c r="B74" s="89"/>
      <c r="C74" s="90" t="s">
        <v>50</v>
      </c>
      <c r="D74" s="113" t="s">
        <v>112</v>
      </c>
      <c r="E74" s="119">
        <f t="shared" si="3"/>
        <v>37</v>
      </c>
      <c r="F74" s="120">
        <v>24</v>
      </c>
      <c r="G74" s="121">
        <v>0.02</v>
      </c>
      <c r="H74" s="122">
        <v>0.02</v>
      </c>
      <c r="I74" s="166"/>
      <c r="J74" s="166"/>
      <c r="K74" s="165"/>
      <c r="L74" s="165"/>
      <c r="M74" s="165"/>
      <c r="N74" s="165"/>
    </row>
    <row r="75" spans="2:14">
      <c r="B75" s="89"/>
      <c r="C75" s="90" t="s">
        <v>120</v>
      </c>
      <c r="D75" s="113" t="s">
        <v>113</v>
      </c>
      <c r="E75" s="119">
        <f t="shared" si="3"/>
        <v>-1</v>
      </c>
      <c r="F75" s="126">
        <v>0</v>
      </c>
      <c r="G75" s="126">
        <v>0</v>
      </c>
      <c r="H75" s="127">
        <v>0</v>
      </c>
      <c r="I75" s="167"/>
      <c r="J75" s="167"/>
      <c r="K75" s="168"/>
      <c r="L75" s="165"/>
      <c r="M75" s="165"/>
      <c r="N75" s="165"/>
    </row>
    <row r="76" spans="2:14" ht="24">
      <c r="B76" s="89"/>
      <c r="C76" s="90" t="s">
        <v>52</v>
      </c>
      <c r="D76" s="85" t="s">
        <v>114</v>
      </c>
      <c r="E76" s="192">
        <f t="shared" si="3"/>
        <v>77</v>
      </c>
      <c r="F76" s="120">
        <v>38</v>
      </c>
      <c r="G76" s="121">
        <v>0.03</v>
      </c>
      <c r="H76" s="122">
        <v>0.03</v>
      </c>
      <c r="I76" s="167"/>
      <c r="J76" s="167"/>
      <c r="K76" s="168"/>
      <c r="L76" s="165"/>
      <c r="M76" s="165"/>
      <c r="N76" s="165"/>
    </row>
    <row r="77" spans="2:14">
      <c r="B77" s="89"/>
      <c r="C77" s="90" t="s">
        <v>53</v>
      </c>
      <c r="D77" s="113" t="s">
        <v>166</v>
      </c>
      <c r="E77" s="119">
        <f t="shared" si="3"/>
        <v>326</v>
      </c>
      <c r="F77" s="120">
        <v>198</v>
      </c>
      <c r="G77" s="130">
        <v>0.16</v>
      </c>
      <c r="H77" s="193">
        <v>0.16</v>
      </c>
      <c r="I77" s="167"/>
      <c r="J77" s="167"/>
      <c r="K77" s="168"/>
      <c r="L77" s="165"/>
      <c r="M77" s="165"/>
      <c r="N77" s="165"/>
    </row>
    <row r="78" spans="2:14" ht="12.75" thickBot="1">
      <c r="B78" s="180" t="s">
        <v>115</v>
      </c>
      <c r="C78" s="181"/>
      <c r="D78" s="194"/>
      <c r="E78" s="132">
        <f>SUM(E72:E77)</f>
        <v>901</v>
      </c>
      <c r="F78" s="132">
        <f>SUM(F72:F77)</f>
        <v>655</v>
      </c>
      <c r="G78" s="133">
        <v>0.54</v>
      </c>
      <c r="H78" s="134">
        <v>0.53</v>
      </c>
      <c r="I78" s="169"/>
      <c r="J78" s="158"/>
      <c r="K78" s="158"/>
      <c r="L78" s="158"/>
      <c r="M78" s="158"/>
      <c r="N78" s="158"/>
    </row>
    <row r="79" spans="2:14" ht="4.5" customHeight="1" thickTop="1" thickBot="1">
      <c r="B79" s="195"/>
      <c r="C79" s="196"/>
      <c r="D79" s="197"/>
      <c r="E79" s="198"/>
      <c r="F79" s="198"/>
      <c r="G79" s="198"/>
      <c r="H79" s="199"/>
      <c r="I79" s="162"/>
      <c r="J79" s="158"/>
      <c r="K79" s="158"/>
      <c r="L79" s="158"/>
      <c r="M79" s="158"/>
      <c r="N79" s="158"/>
    </row>
    <row r="82" spans="2:14">
      <c r="B82" s="200"/>
      <c r="C82" s="445" t="s">
        <v>126</v>
      </c>
      <c r="D82" s="445"/>
      <c r="E82" s="445"/>
      <c r="F82" s="445"/>
      <c r="G82" s="445"/>
      <c r="H82" s="445"/>
      <c r="I82" s="445"/>
      <c r="J82" s="445"/>
      <c r="K82" s="445"/>
      <c r="L82" s="445"/>
      <c r="M82" s="445"/>
      <c r="N82" s="445"/>
    </row>
    <row r="83" spans="2:14">
      <c r="B83" s="200"/>
      <c r="C83" s="446" t="s">
        <v>127</v>
      </c>
      <c r="D83" s="446"/>
      <c r="E83" s="446"/>
      <c r="F83" s="446"/>
      <c r="G83" s="446"/>
      <c r="H83" s="446"/>
      <c r="I83" s="446"/>
      <c r="J83" s="446"/>
      <c r="K83" s="446"/>
      <c r="L83" s="446"/>
      <c r="M83" s="446"/>
      <c r="N83" s="446"/>
    </row>
    <row r="84" spans="2:14">
      <c r="B84" s="201"/>
      <c r="C84" s="447" t="s">
        <v>164</v>
      </c>
      <c r="D84" s="447"/>
      <c r="E84" s="447"/>
      <c r="F84" s="447"/>
      <c r="G84" s="447"/>
      <c r="H84" s="447"/>
      <c r="I84" s="447"/>
      <c r="J84" s="447"/>
      <c r="K84" s="447"/>
      <c r="L84" s="447"/>
      <c r="M84" s="447"/>
      <c r="N84" s="447"/>
    </row>
    <row r="85" spans="2:14">
      <c r="B85" s="201"/>
      <c r="C85" s="445" t="s">
        <v>135</v>
      </c>
      <c r="D85" s="445"/>
      <c r="E85" s="445"/>
      <c r="F85" s="445"/>
      <c r="G85" s="445"/>
      <c r="H85" s="445"/>
      <c r="I85" s="445"/>
      <c r="J85" s="445"/>
      <c r="K85" s="445"/>
      <c r="L85" s="445"/>
      <c r="M85" s="445"/>
      <c r="N85" s="445"/>
    </row>
    <row r="86" spans="2:14">
      <c r="B86" s="201"/>
      <c r="C86" s="445" t="s">
        <v>131</v>
      </c>
      <c r="D86" s="445"/>
      <c r="E86" s="445"/>
      <c r="F86" s="445"/>
      <c r="G86" s="445"/>
      <c r="H86" s="445"/>
      <c r="I86" s="445"/>
      <c r="J86" s="445"/>
      <c r="K86" s="445"/>
      <c r="L86" s="445"/>
      <c r="M86" s="445"/>
      <c r="N86" s="445"/>
    </row>
    <row r="87" spans="2:14">
      <c r="B87" s="201"/>
      <c r="C87" s="445" t="s">
        <v>167</v>
      </c>
      <c r="D87" s="445"/>
      <c r="E87" s="445"/>
      <c r="F87" s="445"/>
      <c r="G87" s="445"/>
      <c r="H87" s="445"/>
      <c r="I87" s="445"/>
      <c r="J87" s="445"/>
      <c r="K87" s="445"/>
      <c r="L87" s="445"/>
      <c r="M87" s="445"/>
      <c r="N87" s="445"/>
    </row>
    <row r="88" spans="2:14">
      <c r="B88" s="201"/>
      <c r="C88" s="202"/>
      <c r="D88" s="202"/>
      <c r="E88" s="202"/>
      <c r="F88" s="202"/>
      <c r="G88" s="202"/>
      <c r="H88" s="202"/>
      <c r="I88" s="202"/>
      <c r="J88" s="202"/>
      <c r="K88" s="202"/>
      <c r="L88" s="202"/>
      <c r="M88" s="202"/>
      <c r="N88" s="202"/>
    </row>
    <row r="89" spans="2:14" ht="24" customHeight="1">
      <c r="B89" s="201"/>
      <c r="C89" s="447" t="s">
        <v>129</v>
      </c>
      <c r="D89" s="447"/>
      <c r="E89" s="447"/>
      <c r="F89" s="447"/>
      <c r="G89" s="447"/>
      <c r="H89" s="447"/>
      <c r="I89" s="447"/>
      <c r="J89" s="447"/>
      <c r="K89" s="447"/>
      <c r="L89" s="447"/>
      <c r="M89" s="447"/>
      <c r="N89" s="447"/>
    </row>
  </sheetData>
  <sheetProtection formatCells="0" formatColumns="0" formatRows="0" sort="0" autoFilter="0" pivotTables="0"/>
  <mergeCells count="28">
    <mergeCell ref="B12:C12"/>
    <mergeCell ref="B15:C15"/>
    <mergeCell ref="C87:N87"/>
    <mergeCell ref="B53:C53"/>
    <mergeCell ref="B57:C57"/>
    <mergeCell ref="B44:C44"/>
    <mergeCell ref="C86:N86"/>
    <mergeCell ref="B45:C45"/>
    <mergeCell ref="B49:C49"/>
    <mergeCell ref="B52:C52"/>
    <mergeCell ref="C85:N85"/>
    <mergeCell ref="B1:N1"/>
    <mergeCell ref="B2:N2"/>
    <mergeCell ref="B3:N3"/>
    <mergeCell ref="B7:C7"/>
    <mergeCell ref="B6:C6"/>
    <mergeCell ref="C89:N89"/>
    <mergeCell ref="B16:C16"/>
    <mergeCell ref="B21:C21"/>
    <mergeCell ref="C82:N82"/>
    <mergeCell ref="C83:N83"/>
    <mergeCell ref="C84:N84"/>
    <mergeCell ref="B25:C25"/>
    <mergeCell ref="B26:C26"/>
    <mergeCell ref="B31:C31"/>
    <mergeCell ref="B34:C34"/>
    <mergeCell ref="B35:C35"/>
    <mergeCell ref="B40:C40"/>
  </mergeCells>
  <pageMargins left="0.7" right="0.7" top="0.25" bottom="0.44" header="0.3" footer="0.3"/>
  <pageSetup scale="37" orientation="landscape" r:id="rId1"/>
  <headerFooter>
    <oddFooter>&amp;LActivision Blizzard, Inc.&amp;R&amp;P of &amp; 18</oddFooter>
  </headerFooter>
  <rowBreaks count="1" manualBreakCount="1">
    <brk id="43"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showGridLines="0" view="pageBreakPreview" zoomScaleNormal="100" zoomScaleSheetLayoutView="10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5"/>
  <cols>
    <col min="1" max="3" width="2.7109375" style="5" customWidth="1"/>
    <col min="4" max="4" width="59.140625" style="5" customWidth="1"/>
    <col min="5" max="6" width="10.5703125" style="262" customWidth="1"/>
    <col min="7" max="7" width="10" style="263" customWidth="1"/>
    <col min="8" max="16" width="10" style="27" customWidth="1"/>
    <col min="17" max="17" width="1.42578125" style="27" customWidth="1"/>
    <col min="18" max="16384" width="8.85546875" style="27"/>
  </cols>
  <sheetData>
    <row r="1" spans="1:21" s="31" customFormat="1" ht="15" customHeight="1" collapsed="1">
      <c r="A1" s="430" t="s">
        <v>39</v>
      </c>
      <c r="B1" s="430"/>
      <c r="C1" s="430"/>
      <c r="D1" s="430"/>
      <c r="E1" s="430"/>
      <c r="F1" s="430"/>
      <c r="G1" s="430"/>
      <c r="H1" s="430"/>
      <c r="I1" s="430"/>
      <c r="J1" s="430"/>
      <c r="K1" s="430"/>
      <c r="L1" s="430"/>
      <c r="M1" s="430"/>
      <c r="N1" s="430"/>
      <c r="O1" s="430"/>
      <c r="P1" s="430"/>
      <c r="Q1" s="430"/>
    </row>
    <row r="2" spans="1:21" s="31" customFormat="1" ht="15" customHeight="1">
      <c r="A2" s="430" t="s">
        <v>26</v>
      </c>
      <c r="B2" s="430"/>
      <c r="C2" s="430"/>
      <c r="D2" s="430"/>
      <c r="E2" s="430"/>
      <c r="F2" s="430"/>
      <c r="G2" s="430"/>
      <c r="H2" s="430"/>
      <c r="I2" s="430"/>
      <c r="J2" s="430"/>
      <c r="K2" s="430"/>
      <c r="L2" s="430"/>
      <c r="M2" s="430"/>
      <c r="N2" s="430"/>
      <c r="O2" s="430"/>
      <c r="P2" s="430"/>
      <c r="Q2" s="430"/>
    </row>
    <row r="3" spans="1:21" s="31" customFormat="1" ht="15" customHeight="1">
      <c r="A3" s="430" t="s">
        <v>24</v>
      </c>
      <c r="B3" s="430"/>
      <c r="C3" s="430"/>
      <c r="D3" s="430"/>
      <c r="E3" s="430"/>
      <c r="F3" s="430"/>
      <c r="G3" s="430"/>
      <c r="H3" s="430"/>
      <c r="I3" s="430"/>
      <c r="J3" s="430"/>
      <c r="K3" s="430"/>
      <c r="L3" s="430"/>
      <c r="M3" s="430"/>
      <c r="N3" s="430"/>
      <c r="O3" s="430"/>
      <c r="P3" s="430"/>
      <c r="Q3" s="430"/>
      <c r="U3" s="30"/>
    </row>
    <row r="5" spans="1:21">
      <c r="A5" s="20" t="s">
        <v>138</v>
      </c>
    </row>
    <row r="6" spans="1:21">
      <c r="E6" s="264" t="s">
        <v>6</v>
      </c>
      <c r="F6" s="264" t="s">
        <v>3</v>
      </c>
      <c r="G6" s="264" t="s">
        <v>4</v>
      </c>
      <c r="H6" s="264" t="s">
        <v>5</v>
      </c>
      <c r="I6" s="264" t="s">
        <v>6</v>
      </c>
      <c r="J6" s="264" t="s">
        <v>3</v>
      </c>
      <c r="K6" s="264" t="s">
        <v>4</v>
      </c>
      <c r="L6" s="264" t="s">
        <v>5</v>
      </c>
      <c r="M6" s="264" t="s">
        <v>6</v>
      </c>
      <c r="N6" s="264" t="s">
        <v>3</v>
      </c>
      <c r="O6" s="264" t="s">
        <v>4</v>
      </c>
      <c r="P6" s="264" t="s">
        <v>5</v>
      </c>
    </row>
    <row r="7" spans="1:21">
      <c r="A7" s="40"/>
      <c r="B7" s="40"/>
      <c r="C7" s="40"/>
      <c r="D7" s="40"/>
      <c r="E7" s="265" t="s">
        <v>40</v>
      </c>
      <c r="F7" s="265" t="s">
        <v>41</v>
      </c>
      <c r="G7" s="265" t="s">
        <v>41</v>
      </c>
      <c r="H7" s="265" t="s">
        <v>41</v>
      </c>
      <c r="I7" s="265" t="s">
        <v>41</v>
      </c>
      <c r="J7" s="265" t="s">
        <v>220</v>
      </c>
      <c r="K7" s="265" t="s">
        <v>220</v>
      </c>
      <c r="L7" s="265" t="s">
        <v>220</v>
      </c>
      <c r="M7" s="265" t="s">
        <v>220</v>
      </c>
      <c r="N7" s="265" t="s">
        <v>248</v>
      </c>
      <c r="O7" s="265" t="s">
        <v>248</v>
      </c>
      <c r="P7" s="265" t="s">
        <v>248</v>
      </c>
    </row>
    <row r="8" spans="1:21" ht="5.25" customHeight="1">
      <c r="A8" s="6"/>
      <c r="B8" s="6"/>
      <c r="C8" s="6"/>
      <c r="D8" s="6"/>
      <c r="G8" s="262"/>
      <c r="H8" s="262"/>
      <c r="I8" s="262"/>
      <c r="J8" s="262"/>
      <c r="K8" s="262"/>
      <c r="L8" s="262"/>
      <c r="M8" s="262"/>
      <c r="N8" s="262"/>
      <c r="O8" s="262"/>
      <c r="P8" s="262"/>
    </row>
    <row r="9" spans="1:21">
      <c r="A9" s="8"/>
      <c r="B9" s="1" t="s">
        <v>186</v>
      </c>
      <c r="C9" s="9"/>
      <c r="D9" s="8"/>
      <c r="E9" s="266">
        <v>1427</v>
      </c>
      <c r="F9" s="266">
        <v>1449</v>
      </c>
      <c r="G9" s="266">
        <v>1146</v>
      </c>
      <c r="H9" s="266">
        <v>754</v>
      </c>
      <c r="I9" s="266">
        <v>1407</v>
      </c>
      <c r="J9" s="266">
        <v>1172</v>
      </c>
      <c r="K9" s="266">
        <v>1075</v>
      </c>
      <c r="L9" s="266">
        <v>841</v>
      </c>
      <c r="M9" s="266">
        <v>1768</v>
      </c>
      <c r="N9" s="266">
        <v>1324</v>
      </c>
      <c r="O9" s="266">
        <v>1050</v>
      </c>
      <c r="P9" s="266">
        <v>691</v>
      </c>
    </row>
    <row r="10" spans="1:21">
      <c r="A10" s="8"/>
      <c r="B10" s="1" t="s">
        <v>185</v>
      </c>
      <c r="C10" s="9"/>
      <c r="D10" s="8"/>
      <c r="E10" s="266"/>
      <c r="F10" s="266"/>
      <c r="G10" s="266"/>
      <c r="H10" s="266"/>
      <c r="I10" s="266"/>
      <c r="J10" s="266"/>
      <c r="K10" s="266"/>
      <c r="L10" s="266"/>
      <c r="M10" s="266"/>
      <c r="N10" s="266"/>
      <c r="O10" s="266"/>
      <c r="P10" s="266"/>
    </row>
    <row r="11" spans="1:21" s="43" customFormat="1">
      <c r="A11" s="10"/>
      <c r="C11" s="2" t="s">
        <v>196</v>
      </c>
      <c r="D11" s="10"/>
      <c r="E11" s="267">
        <v>585</v>
      </c>
      <c r="F11" s="267">
        <v>299</v>
      </c>
      <c r="G11" s="267">
        <v>213</v>
      </c>
      <c r="H11" s="267">
        <v>138</v>
      </c>
      <c r="I11" s="267">
        <v>483</v>
      </c>
      <c r="J11" s="267">
        <v>257</v>
      </c>
      <c r="K11" s="267">
        <v>229</v>
      </c>
      <c r="L11" s="267">
        <v>146</v>
      </c>
      <c r="M11" s="267">
        <v>483</v>
      </c>
      <c r="N11" s="267">
        <v>260</v>
      </c>
      <c r="O11" s="267">
        <v>179</v>
      </c>
      <c r="P11" s="267">
        <v>111</v>
      </c>
    </row>
    <row r="12" spans="1:21" s="43" customFormat="1">
      <c r="A12" s="10"/>
      <c r="C12" s="2" t="s">
        <v>213</v>
      </c>
      <c r="D12" s="10"/>
      <c r="E12" s="267">
        <f>73+3</f>
        <v>76</v>
      </c>
      <c r="F12" s="267">
        <f>63+3</f>
        <v>66</v>
      </c>
      <c r="G12" s="267">
        <f>59+3</f>
        <v>62</v>
      </c>
      <c r="H12" s="267">
        <f>59+4</f>
        <v>63</v>
      </c>
      <c r="I12" s="267">
        <f>58+7</f>
        <v>65</v>
      </c>
      <c r="J12" s="267">
        <f>59+10</f>
        <v>69</v>
      </c>
      <c r="K12" s="267">
        <f>64+7</f>
        <v>71</v>
      </c>
      <c r="L12" s="267">
        <f>56+6</f>
        <v>62</v>
      </c>
      <c r="M12" s="267">
        <f>53+7</f>
        <v>60</v>
      </c>
      <c r="N12" s="267">
        <v>57</v>
      </c>
      <c r="O12" s="267">
        <v>54</v>
      </c>
      <c r="P12" s="267">
        <v>43</v>
      </c>
    </row>
    <row r="13" spans="1:21" s="43" customFormat="1">
      <c r="A13" s="10"/>
      <c r="C13" s="2" t="s">
        <v>194</v>
      </c>
      <c r="D13" s="10"/>
      <c r="E13" s="267">
        <v>128</v>
      </c>
      <c r="F13" s="267">
        <v>61</v>
      </c>
      <c r="G13" s="267">
        <v>47</v>
      </c>
      <c r="H13" s="267">
        <v>24</v>
      </c>
      <c r="I13" s="267">
        <v>85</v>
      </c>
      <c r="J13" s="267">
        <v>31</v>
      </c>
      <c r="K13" s="267">
        <v>57</v>
      </c>
      <c r="L13" s="267">
        <v>19</v>
      </c>
      <c r="M13" s="267">
        <v>87</v>
      </c>
      <c r="N13" s="267">
        <v>61</v>
      </c>
      <c r="O13" s="267">
        <v>38</v>
      </c>
      <c r="P13" s="267">
        <v>16</v>
      </c>
    </row>
    <row r="14" spans="1:21" s="43" customFormat="1">
      <c r="A14" s="10"/>
      <c r="C14" s="2" t="s">
        <v>195</v>
      </c>
      <c r="D14" s="10"/>
      <c r="E14" s="267">
        <v>92</v>
      </c>
      <c r="F14" s="267">
        <v>29</v>
      </c>
      <c r="G14" s="267">
        <v>24</v>
      </c>
      <c r="H14" s="267">
        <v>16</v>
      </c>
      <c r="I14" s="267">
        <v>96</v>
      </c>
      <c r="J14" s="267">
        <v>7</v>
      </c>
      <c r="K14" s="267">
        <v>20</v>
      </c>
      <c r="L14" s="267">
        <v>10</v>
      </c>
      <c r="M14" s="267">
        <v>52</v>
      </c>
      <c r="N14" s="267">
        <v>38</v>
      </c>
      <c r="O14" s="267">
        <v>14</v>
      </c>
      <c r="P14" s="267">
        <v>5</v>
      </c>
    </row>
    <row r="15" spans="1:21">
      <c r="A15" s="10"/>
      <c r="B15" s="10"/>
      <c r="C15" s="6" t="s">
        <v>42</v>
      </c>
      <c r="D15" s="10"/>
      <c r="E15" s="268">
        <f>275-2-3</f>
        <v>270</v>
      </c>
      <c r="F15" s="268">
        <f>142-3</f>
        <v>139</v>
      </c>
      <c r="G15" s="268">
        <f>116-3</f>
        <v>113</v>
      </c>
      <c r="H15" s="268">
        <f>133-4</f>
        <v>129</v>
      </c>
      <c r="I15" s="268">
        <f>256-7</f>
        <v>249</v>
      </c>
      <c r="J15" s="268">
        <f>124-10</f>
        <v>114</v>
      </c>
      <c r="K15" s="268">
        <f>152-7</f>
        <v>145</v>
      </c>
      <c r="L15" s="268">
        <f>131-6</f>
        <v>125</v>
      </c>
      <c r="M15" s="268">
        <f>229-7</f>
        <v>222</v>
      </c>
      <c r="N15" s="268">
        <v>125</v>
      </c>
      <c r="O15" s="268">
        <v>123</v>
      </c>
      <c r="P15" s="268">
        <v>140</v>
      </c>
    </row>
    <row r="16" spans="1:21">
      <c r="A16" s="10"/>
      <c r="B16" s="10"/>
      <c r="C16" s="6" t="s">
        <v>43</v>
      </c>
      <c r="D16" s="10"/>
      <c r="E16" s="268">
        <f>226-1</f>
        <v>225</v>
      </c>
      <c r="F16" s="268">
        <f>64-4</f>
        <v>60</v>
      </c>
      <c r="G16" s="268">
        <v>90</v>
      </c>
      <c r="H16" s="268">
        <f>118-3</f>
        <v>115</v>
      </c>
      <c r="I16" s="268">
        <f>284-3</f>
        <v>281</v>
      </c>
      <c r="J16" s="268">
        <v>79</v>
      </c>
      <c r="K16" s="268">
        <v>136</v>
      </c>
      <c r="L16" s="268">
        <v>131</v>
      </c>
      <c r="M16" s="268">
        <v>232</v>
      </c>
      <c r="N16" s="268">
        <v>107</v>
      </c>
      <c r="O16" s="268">
        <v>116</v>
      </c>
      <c r="P16" s="268">
        <v>144</v>
      </c>
    </row>
    <row r="17" spans="1:19">
      <c r="A17" s="10"/>
      <c r="B17" s="10"/>
      <c r="C17" s="6" t="s">
        <v>44</v>
      </c>
      <c r="D17" s="10"/>
      <c r="E17" s="268">
        <f>119+3</f>
        <v>122</v>
      </c>
      <c r="F17" s="268">
        <f>98+4</f>
        <v>102</v>
      </c>
      <c r="G17" s="268">
        <v>127</v>
      </c>
      <c r="H17" s="268">
        <f>101+3</f>
        <v>104</v>
      </c>
      <c r="I17" s="268">
        <f>106+12+3+1</f>
        <v>122</v>
      </c>
      <c r="J17" s="268">
        <v>102</v>
      </c>
      <c r="K17" s="268">
        <v>190</v>
      </c>
      <c r="L17" s="268">
        <v>121</v>
      </c>
      <c r="M17" s="268">
        <v>148</v>
      </c>
      <c r="N17" s="268">
        <v>89</v>
      </c>
      <c r="O17" s="268">
        <v>96</v>
      </c>
      <c r="P17" s="268">
        <v>162</v>
      </c>
    </row>
    <row r="18" spans="1:19">
      <c r="A18" s="10"/>
      <c r="B18" s="10"/>
      <c r="C18" s="6" t="s">
        <v>45</v>
      </c>
      <c r="D18" s="10"/>
      <c r="E18" s="268">
        <v>0</v>
      </c>
      <c r="F18" s="268">
        <v>19</v>
      </c>
      <c r="G18" s="268">
        <v>3</v>
      </c>
      <c r="H18" s="268">
        <v>3</v>
      </c>
      <c r="I18" s="268">
        <f>2-1</f>
        <v>1</v>
      </c>
      <c r="J18" s="268">
        <v>0</v>
      </c>
      <c r="K18" s="268">
        <v>0</v>
      </c>
      <c r="L18" s="268">
        <v>0</v>
      </c>
      <c r="M18" s="268">
        <v>0</v>
      </c>
      <c r="N18" s="268">
        <v>0</v>
      </c>
      <c r="O18" s="268">
        <v>0</v>
      </c>
      <c r="P18" s="268">
        <v>0</v>
      </c>
    </row>
    <row r="19" spans="1:19" ht="16.5">
      <c r="A19" s="10"/>
      <c r="B19" s="10"/>
      <c r="C19" s="6" t="s">
        <v>46</v>
      </c>
      <c r="D19" s="10"/>
      <c r="E19" s="269">
        <v>326</v>
      </c>
      <c r="F19" s="269">
        <v>0</v>
      </c>
      <c r="G19" s="269">
        <v>0</v>
      </c>
      <c r="H19" s="269">
        <v>0</v>
      </c>
      <c r="I19" s="269">
        <v>0</v>
      </c>
      <c r="J19" s="269">
        <v>0</v>
      </c>
      <c r="K19" s="269">
        <v>0</v>
      </c>
      <c r="L19" s="269">
        <v>0</v>
      </c>
      <c r="M19" s="269">
        <v>0</v>
      </c>
      <c r="N19" s="269">
        <v>0</v>
      </c>
      <c r="O19" s="269">
        <v>0</v>
      </c>
      <c r="P19" s="269">
        <v>0</v>
      </c>
    </row>
    <row r="20" spans="1:19" ht="16.5">
      <c r="A20" s="10"/>
      <c r="B20" s="10"/>
      <c r="C20" s="10"/>
      <c r="D20" s="10" t="s">
        <v>184</v>
      </c>
      <c r="E20" s="269">
        <f t="shared" ref="E20:G20" si="0">SUM(E11:E19)</f>
        <v>1824</v>
      </c>
      <c r="F20" s="269">
        <f t="shared" si="0"/>
        <v>775</v>
      </c>
      <c r="G20" s="269">
        <f t="shared" si="0"/>
        <v>679</v>
      </c>
      <c r="H20" s="269">
        <f t="shared" ref="H20:I20" si="1">SUM(H11:H19)</f>
        <v>592</v>
      </c>
      <c r="I20" s="269">
        <f t="shared" si="1"/>
        <v>1382</v>
      </c>
      <c r="J20" s="269">
        <f t="shared" ref="J20:K20" si="2">SUM(J11:J19)</f>
        <v>659</v>
      </c>
      <c r="K20" s="269">
        <f t="shared" si="2"/>
        <v>848</v>
      </c>
      <c r="L20" s="269">
        <f t="shared" ref="L20:M20" si="3">SUM(L11:L19)</f>
        <v>614</v>
      </c>
      <c r="M20" s="269">
        <f t="shared" si="3"/>
        <v>1284</v>
      </c>
      <c r="N20" s="269">
        <f t="shared" ref="N20:O20" si="4">SUM(N11:N19)</f>
        <v>737</v>
      </c>
      <c r="O20" s="269">
        <f t="shared" si="4"/>
        <v>620</v>
      </c>
      <c r="P20" s="269">
        <f t="shared" ref="P20" si="5">SUM(P11:P19)</f>
        <v>621</v>
      </c>
    </row>
    <row r="21" spans="1:19">
      <c r="A21" s="11"/>
      <c r="B21" s="25" t="s">
        <v>1</v>
      </c>
      <c r="C21" s="3"/>
      <c r="D21" s="11"/>
      <c r="E21" s="270">
        <f t="shared" ref="E21:G21" si="6">+E9-E20</f>
        <v>-397</v>
      </c>
      <c r="F21" s="270">
        <f t="shared" si="6"/>
        <v>674</v>
      </c>
      <c r="G21" s="270">
        <f t="shared" si="6"/>
        <v>467</v>
      </c>
      <c r="H21" s="270">
        <f t="shared" ref="H21:I21" si="7">+H9-H20</f>
        <v>162</v>
      </c>
      <c r="I21" s="270">
        <f t="shared" si="7"/>
        <v>25</v>
      </c>
      <c r="J21" s="270">
        <f t="shared" ref="J21:K21" si="8">+J9-J20</f>
        <v>513</v>
      </c>
      <c r="K21" s="270">
        <f t="shared" si="8"/>
        <v>227</v>
      </c>
      <c r="L21" s="270">
        <f t="shared" ref="L21:M21" si="9">+L9-L20</f>
        <v>227</v>
      </c>
      <c r="M21" s="270">
        <f t="shared" si="9"/>
        <v>484</v>
      </c>
      <c r="N21" s="270">
        <f t="shared" ref="N21:O21" si="10">+N9-N20</f>
        <v>587</v>
      </c>
      <c r="O21" s="270">
        <f t="shared" si="10"/>
        <v>430</v>
      </c>
      <c r="P21" s="270">
        <f t="shared" ref="P21" si="11">+P9-P20</f>
        <v>70</v>
      </c>
    </row>
    <row r="22" spans="1:19" ht="16.5">
      <c r="A22" s="12"/>
      <c r="B22" s="2" t="s">
        <v>209</v>
      </c>
      <c r="C22" s="12"/>
      <c r="D22" s="12"/>
      <c r="E22" s="269">
        <v>8</v>
      </c>
      <c r="F22" s="269">
        <v>2</v>
      </c>
      <c r="G22" s="269">
        <v>2</v>
      </c>
      <c r="H22" s="269">
        <v>3</v>
      </c>
      <c r="I22" s="269">
        <v>-5</v>
      </c>
      <c r="J22" s="269">
        <v>1</v>
      </c>
      <c r="K22" s="269">
        <v>2</v>
      </c>
      <c r="L22" s="269">
        <v>1</v>
      </c>
      <c r="M22" s="269">
        <v>3</v>
      </c>
      <c r="N22" s="269">
        <v>2</v>
      </c>
      <c r="O22" s="269">
        <v>0</v>
      </c>
      <c r="P22" s="269">
        <v>-4</v>
      </c>
    </row>
    <row r="23" spans="1:19">
      <c r="A23" s="12"/>
      <c r="B23" s="22" t="s">
        <v>47</v>
      </c>
      <c r="C23" s="4"/>
      <c r="D23" s="12"/>
      <c r="E23" s="268">
        <f t="shared" ref="E23:F23" si="12">SUM(E21:E22)</f>
        <v>-389</v>
      </c>
      <c r="F23" s="268">
        <f t="shared" si="12"/>
        <v>676</v>
      </c>
      <c r="G23" s="268">
        <f t="shared" ref="G23:H23" si="13">SUM(G21:G22)</f>
        <v>469</v>
      </c>
      <c r="H23" s="268">
        <f t="shared" si="13"/>
        <v>165</v>
      </c>
      <c r="I23" s="268">
        <f t="shared" ref="I23:J23" si="14">SUM(I21:I22)</f>
        <v>20</v>
      </c>
      <c r="J23" s="268">
        <f t="shared" si="14"/>
        <v>514</v>
      </c>
      <c r="K23" s="268">
        <f t="shared" ref="K23:L23" si="15">SUM(K21:K22)</f>
        <v>229</v>
      </c>
      <c r="L23" s="268">
        <f t="shared" si="15"/>
        <v>228</v>
      </c>
      <c r="M23" s="268">
        <f t="shared" ref="M23:N23" si="16">SUM(M21:M22)</f>
        <v>487</v>
      </c>
      <c r="N23" s="268">
        <f t="shared" si="16"/>
        <v>589</v>
      </c>
      <c r="O23" s="268">
        <f t="shared" ref="O23:P23" si="17">SUM(O21:O22)</f>
        <v>430</v>
      </c>
      <c r="P23" s="268">
        <f t="shared" si="17"/>
        <v>66</v>
      </c>
    </row>
    <row r="24" spans="1:19" ht="16.5">
      <c r="A24" s="12"/>
      <c r="B24" s="2" t="s">
        <v>48</v>
      </c>
      <c r="C24" s="4"/>
      <c r="D24" s="12"/>
      <c r="E24" s="269">
        <v>-156</v>
      </c>
      <c r="F24" s="269">
        <v>173</v>
      </c>
      <c r="G24" s="269">
        <v>134</v>
      </c>
      <c r="H24" s="269">
        <v>17</v>
      </c>
      <c r="I24" s="269">
        <v>-79</v>
      </c>
      <c r="J24" s="269">
        <v>130</v>
      </c>
      <c r="K24" s="269">
        <v>44</v>
      </c>
      <c r="L24" s="269">
        <v>2</v>
      </c>
      <c r="M24" s="269">
        <v>133</v>
      </c>
      <c r="N24" s="269">
        <v>133</v>
      </c>
      <c r="O24" s="269">
        <v>106</v>
      </c>
      <c r="P24" s="269">
        <v>10</v>
      </c>
    </row>
    <row r="25" spans="1:19" ht="16.5">
      <c r="A25" s="9"/>
      <c r="B25" s="25" t="s">
        <v>2</v>
      </c>
      <c r="C25" s="9"/>
      <c r="D25" s="9"/>
      <c r="E25" s="271">
        <f t="shared" ref="E25:F25" si="18">E23-E24</f>
        <v>-233</v>
      </c>
      <c r="F25" s="271">
        <f t="shared" si="18"/>
        <v>503</v>
      </c>
      <c r="G25" s="271">
        <f t="shared" ref="G25:L25" si="19">G23-G24</f>
        <v>335</v>
      </c>
      <c r="H25" s="271">
        <f t="shared" si="19"/>
        <v>148</v>
      </c>
      <c r="I25" s="271">
        <f t="shared" si="19"/>
        <v>99</v>
      </c>
      <c r="J25" s="271">
        <f t="shared" si="19"/>
        <v>384</v>
      </c>
      <c r="K25" s="271">
        <f t="shared" si="19"/>
        <v>185</v>
      </c>
      <c r="L25" s="271">
        <f t="shared" si="19"/>
        <v>226</v>
      </c>
      <c r="M25" s="271">
        <f t="shared" ref="M25:N25" si="20">M23-M24</f>
        <v>354</v>
      </c>
      <c r="N25" s="271">
        <f t="shared" si="20"/>
        <v>456</v>
      </c>
      <c r="O25" s="271">
        <f t="shared" ref="O25:P25" si="21">O23-O24</f>
        <v>324</v>
      </c>
      <c r="P25" s="271">
        <f t="shared" si="21"/>
        <v>56</v>
      </c>
    </row>
    <row r="26" spans="1:19" ht="24.75" customHeight="1">
      <c r="A26" s="10"/>
      <c r="B26" s="431" t="s">
        <v>247</v>
      </c>
      <c r="C26" s="431"/>
      <c r="D26" s="431"/>
      <c r="E26" s="391">
        <v>-233</v>
      </c>
      <c r="F26" s="391">
        <v>496</v>
      </c>
      <c r="G26" s="391">
        <v>330</v>
      </c>
      <c r="H26" s="391">
        <v>146</v>
      </c>
      <c r="I26" s="391">
        <v>97</v>
      </c>
      <c r="J26" s="391">
        <v>377</v>
      </c>
      <c r="K26" s="391">
        <v>181</v>
      </c>
      <c r="L26" s="391">
        <v>221</v>
      </c>
      <c r="M26" s="391">
        <v>346</v>
      </c>
      <c r="N26" s="391">
        <v>446</v>
      </c>
      <c r="O26" s="391">
        <v>318</v>
      </c>
      <c r="P26" s="391">
        <v>55</v>
      </c>
      <c r="Q26" s="392"/>
      <c r="R26" s="392"/>
    </row>
    <row r="27" spans="1:19" ht="24" customHeight="1">
      <c r="A27" s="9"/>
      <c r="B27" s="25"/>
      <c r="C27" s="9"/>
      <c r="D27" s="9"/>
      <c r="E27" s="271"/>
      <c r="F27" s="271"/>
      <c r="G27" s="271"/>
      <c r="H27" s="349"/>
      <c r="I27" s="349"/>
      <c r="J27" s="349"/>
      <c r="K27" s="349"/>
      <c r="L27" s="349"/>
      <c r="M27" s="349"/>
      <c r="N27" s="349"/>
      <c r="O27" s="349"/>
      <c r="P27" s="349"/>
    </row>
    <row r="28" spans="1:19">
      <c r="A28" s="32"/>
      <c r="B28" s="29" t="s">
        <v>30</v>
      </c>
      <c r="C28" s="29"/>
      <c r="D28" s="29"/>
      <c r="E28" s="272"/>
      <c r="F28" s="272"/>
      <c r="G28" s="272"/>
      <c r="H28" s="272"/>
      <c r="I28" s="272"/>
      <c r="J28" s="272"/>
      <c r="K28" s="272"/>
      <c r="L28" s="272"/>
      <c r="M28" s="272"/>
      <c r="N28" s="272"/>
      <c r="O28" s="272"/>
      <c r="P28" s="272"/>
    </row>
    <row r="29" spans="1:19">
      <c r="A29" s="32"/>
      <c r="B29" s="29"/>
      <c r="C29" s="28" t="s">
        <v>32</v>
      </c>
      <c r="D29" s="29"/>
      <c r="E29" s="273">
        <v>-0.2</v>
      </c>
      <c r="F29" s="273">
        <v>0.42</v>
      </c>
      <c r="G29" s="274">
        <v>0.28999999999999998</v>
      </c>
      <c r="H29" s="274">
        <v>0.13</v>
      </c>
      <c r="I29" s="274">
        <v>0.09</v>
      </c>
      <c r="J29" s="274">
        <v>0.34</v>
      </c>
      <c r="K29" s="274">
        <v>0.16</v>
      </c>
      <c r="L29" s="274">
        <v>0.2</v>
      </c>
      <c r="M29" s="274">
        <v>0.31</v>
      </c>
      <c r="N29" s="274">
        <v>0.4</v>
      </c>
      <c r="O29" s="274">
        <v>0.28000000000000003</v>
      </c>
      <c r="P29" s="274">
        <v>0.05</v>
      </c>
    </row>
    <row r="30" spans="1:19">
      <c r="A30" s="32"/>
      <c r="B30" s="29"/>
      <c r="C30" s="28" t="s">
        <v>33</v>
      </c>
      <c r="D30" s="29"/>
      <c r="E30" s="273">
        <v>-0.2</v>
      </c>
      <c r="F30" s="273">
        <v>0.42</v>
      </c>
      <c r="G30" s="274">
        <v>0.28999999999999998</v>
      </c>
      <c r="H30" s="274">
        <v>0.13</v>
      </c>
      <c r="I30" s="274">
        <v>0.08</v>
      </c>
      <c r="J30" s="274">
        <v>0.33</v>
      </c>
      <c r="K30" s="274">
        <v>0.16</v>
      </c>
      <c r="L30" s="274">
        <v>0.2</v>
      </c>
      <c r="M30" s="274">
        <v>0.31</v>
      </c>
      <c r="N30" s="274">
        <v>0.4</v>
      </c>
      <c r="O30" s="274">
        <v>0.28000000000000003</v>
      </c>
      <c r="P30" s="274">
        <v>0.05</v>
      </c>
      <c r="S30" s="337"/>
    </row>
    <row r="31" spans="1:19" ht="4.1500000000000004" customHeight="1">
      <c r="A31" s="32"/>
      <c r="B31" s="29"/>
      <c r="C31" s="29"/>
      <c r="D31" s="29"/>
      <c r="G31" s="275"/>
      <c r="H31" s="275"/>
      <c r="I31" s="275"/>
      <c r="J31" s="275"/>
      <c r="K31" s="275"/>
      <c r="L31" s="275"/>
      <c r="M31" s="275"/>
      <c r="N31" s="275"/>
      <c r="O31" s="275"/>
      <c r="P31" s="275"/>
    </row>
    <row r="32" spans="1:19">
      <c r="A32" s="32"/>
      <c r="B32" s="5" t="s">
        <v>31</v>
      </c>
      <c r="C32" s="32"/>
      <c r="D32" s="29"/>
      <c r="G32" s="276"/>
      <c r="H32" s="276"/>
      <c r="I32" s="276"/>
      <c r="J32" s="276"/>
      <c r="K32" s="276"/>
      <c r="L32" s="276"/>
      <c r="M32" s="276"/>
      <c r="N32" s="276"/>
      <c r="O32" s="276"/>
      <c r="P32" s="276"/>
      <c r="S32" s="337"/>
    </row>
    <row r="33" spans="1:19">
      <c r="A33" s="32"/>
      <c r="B33" s="29"/>
      <c r="C33" s="18" t="s">
        <v>32</v>
      </c>
      <c r="D33" s="29"/>
      <c r="E33" s="277">
        <v>1198</v>
      </c>
      <c r="F33" s="277">
        <v>1173</v>
      </c>
      <c r="G33" s="277">
        <v>1141</v>
      </c>
      <c r="H33" s="277">
        <v>1140</v>
      </c>
      <c r="I33" s="277">
        <v>1139</v>
      </c>
      <c r="J33" s="277">
        <v>1120</v>
      </c>
      <c r="K33" s="277">
        <v>1109</v>
      </c>
      <c r="L33" s="277">
        <v>1109</v>
      </c>
      <c r="M33" s="277">
        <v>1111</v>
      </c>
      <c r="N33" s="277">
        <v>1113</v>
      </c>
      <c r="O33" s="277">
        <v>1118</v>
      </c>
      <c r="P33" s="277">
        <v>1122</v>
      </c>
      <c r="S33" s="414"/>
    </row>
    <row r="34" spans="1:19">
      <c r="A34" s="32"/>
      <c r="B34" s="29"/>
      <c r="C34" s="18" t="s">
        <v>33</v>
      </c>
      <c r="D34" s="29"/>
      <c r="E34" s="277">
        <v>1198</v>
      </c>
      <c r="F34" s="277">
        <v>1182</v>
      </c>
      <c r="G34" s="277">
        <v>1150</v>
      </c>
      <c r="H34" s="277">
        <v>1148</v>
      </c>
      <c r="I34" s="277">
        <v>1147</v>
      </c>
      <c r="J34" s="277">
        <v>1127</v>
      </c>
      <c r="K34" s="277">
        <v>1115</v>
      </c>
      <c r="L34" s="277">
        <v>1114</v>
      </c>
      <c r="M34" s="277">
        <v>1115</v>
      </c>
      <c r="N34" s="277">
        <v>1120</v>
      </c>
      <c r="O34" s="277">
        <v>1127</v>
      </c>
      <c r="P34" s="277">
        <v>1134</v>
      </c>
      <c r="S34" s="414"/>
    </row>
    <row r="35" spans="1:19">
      <c r="A35" s="32"/>
      <c r="B35" s="29"/>
      <c r="C35" s="18" t="s">
        <v>270</v>
      </c>
      <c r="D35" s="29"/>
      <c r="E35" s="277">
        <v>15</v>
      </c>
      <c r="F35" s="277">
        <v>17</v>
      </c>
      <c r="G35" s="277">
        <v>17</v>
      </c>
      <c r="H35" s="277">
        <v>17</v>
      </c>
      <c r="I35" s="277">
        <v>17</v>
      </c>
      <c r="J35" s="277">
        <v>19</v>
      </c>
      <c r="K35" s="277">
        <v>24</v>
      </c>
      <c r="L35" s="277">
        <v>27</v>
      </c>
      <c r="M35" s="277">
        <v>27</v>
      </c>
      <c r="N35" s="277">
        <v>26</v>
      </c>
      <c r="O35" s="277">
        <v>24</v>
      </c>
      <c r="P35" s="277">
        <v>24</v>
      </c>
      <c r="S35" s="414"/>
    </row>
    <row r="36" spans="1:19">
      <c r="A36" s="32"/>
      <c r="B36" s="29"/>
      <c r="C36" s="18"/>
      <c r="D36" s="29"/>
      <c r="E36" s="415"/>
      <c r="F36" s="415"/>
      <c r="G36" s="415"/>
      <c r="H36" s="415"/>
      <c r="I36" s="415"/>
      <c r="J36" s="415"/>
      <c r="K36" s="415"/>
      <c r="L36" s="415"/>
      <c r="M36" s="415"/>
      <c r="N36" s="415"/>
      <c r="O36" s="415"/>
      <c r="P36" s="415"/>
    </row>
    <row r="37" spans="1:19">
      <c r="A37" s="20" t="s">
        <v>294</v>
      </c>
      <c r="B37" s="29"/>
      <c r="C37" s="18"/>
      <c r="D37" s="29"/>
      <c r="E37" s="278"/>
      <c r="F37" s="278"/>
      <c r="G37" s="279"/>
      <c r="H37" s="279"/>
      <c r="I37" s="279"/>
      <c r="J37" s="279"/>
      <c r="K37" s="279"/>
      <c r="L37" s="279"/>
      <c r="M37" s="279"/>
      <c r="N37" s="279"/>
      <c r="O37" s="279"/>
      <c r="P37" s="279"/>
    </row>
    <row r="38" spans="1:19">
      <c r="A38" s="32"/>
      <c r="B38" s="29"/>
      <c r="C38" s="18"/>
      <c r="D38" s="29"/>
      <c r="E38" s="264" t="str">
        <f t="shared" ref="E38:G38" si="22">E6</f>
        <v>Q4</v>
      </c>
      <c r="F38" s="264" t="str">
        <f t="shared" si="22"/>
        <v>Q1</v>
      </c>
      <c r="G38" s="264" t="str">
        <f t="shared" si="22"/>
        <v>Q2</v>
      </c>
      <c r="H38" s="264" t="str">
        <f t="shared" ref="H38:I38" si="23">H6</f>
        <v>Q3</v>
      </c>
      <c r="I38" s="264" t="str">
        <f t="shared" si="23"/>
        <v>Q4</v>
      </c>
      <c r="J38" s="264" t="str">
        <f t="shared" ref="J38:K38" si="24">J6</f>
        <v>Q1</v>
      </c>
      <c r="K38" s="264" t="str">
        <f t="shared" si="24"/>
        <v>Q2</v>
      </c>
      <c r="L38" s="264" t="str">
        <f t="shared" ref="L38:M38" si="25">L6</f>
        <v>Q3</v>
      </c>
      <c r="M38" s="264" t="str">
        <f t="shared" si="25"/>
        <v>Q4</v>
      </c>
      <c r="N38" s="264" t="str">
        <f t="shared" ref="N38:O38" si="26">N6</f>
        <v>Q1</v>
      </c>
      <c r="O38" s="264" t="str">
        <f t="shared" si="26"/>
        <v>Q2</v>
      </c>
      <c r="P38" s="264" t="str">
        <f t="shared" ref="P38" si="27">P6</f>
        <v>Q3</v>
      </c>
    </row>
    <row r="39" spans="1:19">
      <c r="A39" s="32"/>
      <c r="B39" s="29"/>
      <c r="C39" s="18"/>
      <c r="D39" s="29"/>
      <c r="E39" s="265" t="str">
        <f t="shared" ref="E39:G39" si="28">E7</f>
        <v>CY10</v>
      </c>
      <c r="F39" s="265" t="str">
        <f t="shared" si="28"/>
        <v>CY11</v>
      </c>
      <c r="G39" s="265" t="str">
        <f t="shared" si="28"/>
        <v>CY11</v>
      </c>
      <c r="H39" s="265" t="str">
        <f t="shared" ref="H39:I39" si="29">H7</f>
        <v>CY11</v>
      </c>
      <c r="I39" s="265" t="str">
        <f t="shared" si="29"/>
        <v>CY11</v>
      </c>
      <c r="J39" s="265" t="str">
        <f t="shared" ref="J39:K39" si="30">J7</f>
        <v>CY12</v>
      </c>
      <c r="K39" s="265" t="str">
        <f t="shared" si="30"/>
        <v>CY12</v>
      </c>
      <c r="L39" s="265" t="str">
        <f t="shared" ref="L39:M39" si="31">L7</f>
        <v>CY12</v>
      </c>
      <c r="M39" s="265" t="str">
        <f t="shared" si="31"/>
        <v>CY12</v>
      </c>
      <c r="N39" s="265" t="str">
        <f t="shared" ref="N39:O39" si="32">N7</f>
        <v>CY13</v>
      </c>
      <c r="O39" s="265" t="str">
        <f t="shared" si="32"/>
        <v>CY13</v>
      </c>
      <c r="P39" s="265" t="str">
        <f t="shared" ref="P39" si="33">P7</f>
        <v>CY13</v>
      </c>
    </row>
    <row r="40" spans="1:19" ht="7.5" customHeight="1">
      <c r="A40" s="32"/>
      <c r="B40" s="29"/>
      <c r="C40" s="18"/>
      <c r="D40" s="29"/>
      <c r="E40" s="278"/>
      <c r="F40" s="278"/>
      <c r="G40" s="280"/>
      <c r="H40" s="280"/>
      <c r="I40" s="280"/>
      <c r="J40" s="280"/>
      <c r="K40" s="280"/>
      <c r="L40" s="280"/>
      <c r="M40" s="280"/>
      <c r="N40" s="280"/>
      <c r="O40" s="280"/>
      <c r="P40" s="280"/>
    </row>
    <row r="41" spans="1:19" ht="16.5" customHeight="1">
      <c r="A41" s="32"/>
      <c r="B41" s="1" t="s">
        <v>185</v>
      </c>
      <c r="C41" s="18"/>
      <c r="D41" s="29"/>
      <c r="E41" s="278"/>
      <c r="F41" s="278"/>
      <c r="G41" s="280"/>
      <c r="H41" s="280"/>
      <c r="I41" s="280"/>
      <c r="J41" s="280"/>
      <c r="K41" s="280"/>
      <c r="L41" s="280"/>
      <c r="M41" s="280"/>
      <c r="N41" s="280"/>
      <c r="O41" s="280"/>
      <c r="P41" s="280"/>
    </row>
    <row r="42" spans="1:19" s="43" customFormat="1">
      <c r="A42" s="10"/>
      <c r="C42" s="2" t="s">
        <v>196</v>
      </c>
      <c r="D42" s="10"/>
      <c r="E42" s="281">
        <f t="shared" ref="E42:F42" si="34">E11/E$9</f>
        <v>0.40995094604064469</v>
      </c>
      <c r="F42" s="281">
        <f t="shared" si="34"/>
        <v>0.20634920634920634</v>
      </c>
      <c r="G42" s="281">
        <f>G11/G$9</f>
        <v>0.18586387434554974</v>
      </c>
      <c r="H42" s="281">
        <f t="shared" ref="H42" si="35">H11/H$9</f>
        <v>0.1830238726790451</v>
      </c>
      <c r="I42" s="281">
        <f t="shared" ref="I42:M51" si="36">I11/I$9</f>
        <v>0.34328358208955223</v>
      </c>
      <c r="J42" s="281">
        <f t="shared" si="36"/>
        <v>0.21928327645051193</v>
      </c>
      <c r="K42" s="281">
        <f t="shared" si="36"/>
        <v>0.21302325581395348</v>
      </c>
      <c r="L42" s="281">
        <f t="shared" si="36"/>
        <v>0.17360285374554102</v>
      </c>
      <c r="M42" s="281">
        <f t="shared" si="36"/>
        <v>0.27319004524886875</v>
      </c>
      <c r="N42" s="281">
        <f t="shared" ref="N42" si="37">N11/N$9</f>
        <v>0.19637462235649547</v>
      </c>
      <c r="O42" s="281">
        <f>O11/O$9</f>
        <v>0.17047619047619048</v>
      </c>
      <c r="P42" s="281">
        <f>P11/P$9</f>
        <v>0.16063675832127353</v>
      </c>
    </row>
    <row r="43" spans="1:19" s="43" customFormat="1">
      <c r="A43" s="10"/>
      <c r="C43" s="2" t="s">
        <v>213</v>
      </c>
      <c r="D43" s="10"/>
      <c r="E43" s="281">
        <f t="shared" ref="E43:F43" si="38">E12/E$9</f>
        <v>5.3258584442887176E-2</v>
      </c>
      <c r="F43" s="281">
        <f t="shared" si="38"/>
        <v>4.5548654244306416E-2</v>
      </c>
      <c r="G43" s="281">
        <f>G12/G$9</f>
        <v>5.4101221640488653E-2</v>
      </c>
      <c r="H43" s="281">
        <f t="shared" ref="H43:H56" si="39">H12/H$9</f>
        <v>8.3554376657824933E-2</v>
      </c>
      <c r="I43" s="281">
        <f t="shared" si="36"/>
        <v>4.6197583511016348E-2</v>
      </c>
      <c r="J43" s="281">
        <f t="shared" si="36"/>
        <v>5.8873720136518773E-2</v>
      </c>
      <c r="K43" s="281">
        <f t="shared" si="36"/>
        <v>6.6046511627906979E-2</v>
      </c>
      <c r="L43" s="281">
        <f t="shared" si="36"/>
        <v>7.3721759809750292E-2</v>
      </c>
      <c r="M43" s="281">
        <f t="shared" si="36"/>
        <v>3.3936651583710405E-2</v>
      </c>
      <c r="N43" s="281">
        <f t="shared" ref="N43:O43" si="40">N12/N$9</f>
        <v>4.3051359516616317E-2</v>
      </c>
      <c r="O43" s="281">
        <f t="shared" si="40"/>
        <v>5.1428571428571428E-2</v>
      </c>
      <c r="P43" s="281">
        <f t="shared" ref="P43" si="41">P12/P$9</f>
        <v>6.2228654124457307E-2</v>
      </c>
    </row>
    <row r="44" spans="1:19" s="43" customFormat="1">
      <c r="A44" s="10"/>
      <c r="C44" s="2" t="s">
        <v>194</v>
      </c>
      <c r="D44" s="10"/>
      <c r="E44" s="281">
        <f t="shared" ref="E44:F44" si="42">E13/E$9</f>
        <v>8.9698668535388923E-2</v>
      </c>
      <c r="F44" s="281">
        <f t="shared" si="42"/>
        <v>4.2097998619737752E-2</v>
      </c>
      <c r="G44" s="281">
        <f>G13/G$9</f>
        <v>4.1012216404886559E-2</v>
      </c>
      <c r="H44" s="281">
        <f t="shared" si="39"/>
        <v>3.1830238726790451E-2</v>
      </c>
      <c r="I44" s="281">
        <f t="shared" si="36"/>
        <v>6.041222459132907E-2</v>
      </c>
      <c r="J44" s="281">
        <f t="shared" si="36"/>
        <v>2.6450511945392493E-2</v>
      </c>
      <c r="K44" s="281">
        <f t="shared" si="36"/>
        <v>5.3023255813953486E-2</v>
      </c>
      <c r="L44" s="281">
        <f t="shared" si="36"/>
        <v>2.2592152199762187E-2</v>
      </c>
      <c r="M44" s="281">
        <f t="shared" si="36"/>
        <v>4.9208144796380089E-2</v>
      </c>
      <c r="N44" s="281">
        <f t="shared" ref="N44:O44" si="43">N13/N$9</f>
        <v>4.6072507552870089E-2</v>
      </c>
      <c r="O44" s="281">
        <f t="shared" si="43"/>
        <v>3.619047619047619E-2</v>
      </c>
      <c r="P44" s="281">
        <f t="shared" ref="P44" si="44">P13/P$9</f>
        <v>2.3154848046309694E-2</v>
      </c>
    </row>
    <row r="45" spans="1:19" s="43" customFormat="1">
      <c r="A45" s="10"/>
      <c r="C45" s="2" t="s">
        <v>195</v>
      </c>
      <c r="D45" s="10"/>
      <c r="E45" s="281">
        <f t="shared" ref="E45:F45" si="45">E14/E$9</f>
        <v>6.4470918009810793E-2</v>
      </c>
      <c r="F45" s="281">
        <f t="shared" si="45"/>
        <v>2.0013802622498276E-2</v>
      </c>
      <c r="G45" s="281">
        <f>G14/G$9</f>
        <v>2.0942408376963352E-2</v>
      </c>
      <c r="H45" s="281">
        <f t="shared" si="39"/>
        <v>2.1220159151193633E-2</v>
      </c>
      <c r="I45" s="281">
        <f t="shared" si="36"/>
        <v>6.8230277185501065E-2</v>
      </c>
      <c r="J45" s="281">
        <f t="shared" si="36"/>
        <v>5.9726962457337888E-3</v>
      </c>
      <c r="K45" s="281">
        <f t="shared" si="36"/>
        <v>1.8604651162790697E-2</v>
      </c>
      <c r="L45" s="281">
        <f t="shared" si="36"/>
        <v>1.1890606420927468E-2</v>
      </c>
      <c r="M45" s="281">
        <f t="shared" si="36"/>
        <v>2.9411764705882353E-2</v>
      </c>
      <c r="N45" s="281">
        <f t="shared" ref="N45:O45" si="46">N14/N$9</f>
        <v>2.8700906344410877E-2</v>
      </c>
      <c r="O45" s="281">
        <f t="shared" si="46"/>
        <v>1.3333333333333334E-2</v>
      </c>
      <c r="P45" s="281">
        <f t="shared" ref="P45" si="47">P14/P$9</f>
        <v>7.2358900144717797E-3</v>
      </c>
    </row>
    <row r="46" spans="1:19">
      <c r="A46" s="10"/>
      <c r="B46" s="10"/>
      <c r="C46" s="6" t="s">
        <v>42</v>
      </c>
      <c r="D46" s="10"/>
      <c r="E46" s="281">
        <f t="shared" ref="E46:F46" si="48">E15/E$9</f>
        <v>0.18920812894183603</v>
      </c>
      <c r="F46" s="281">
        <f t="shared" si="48"/>
        <v>9.5928226363008975E-2</v>
      </c>
      <c r="G46" s="281">
        <f t="shared" ref="G46" si="49">G15/G$9</f>
        <v>9.8603839441535779E-2</v>
      </c>
      <c r="H46" s="281">
        <f t="shared" si="39"/>
        <v>0.17108753315649866</v>
      </c>
      <c r="I46" s="281">
        <f t="shared" si="36"/>
        <v>0.17697228144989338</v>
      </c>
      <c r="J46" s="281">
        <f t="shared" si="36"/>
        <v>9.7269624573378843E-2</v>
      </c>
      <c r="K46" s="281">
        <f t="shared" si="36"/>
        <v>0.13488372093023257</v>
      </c>
      <c r="L46" s="281">
        <f t="shared" si="36"/>
        <v>0.14863258026159334</v>
      </c>
      <c r="M46" s="281">
        <f t="shared" si="36"/>
        <v>0.1255656108597285</v>
      </c>
      <c r="N46" s="281">
        <f t="shared" ref="N46:O46" si="50">N15/N$9</f>
        <v>9.4410876132930519E-2</v>
      </c>
      <c r="O46" s="281">
        <f t="shared" si="50"/>
        <v>0.11714285714285715</v>
      </c>
      <c r="P46" s="281">
        <f t="shared" ref="P46" si="51">P15/P$9</f>
        <v>0.20260492040520983</v>
      </c>
    </row>
    <row r="47" spans="1:19">
      <c r="A47" s="10"/>
      <c r="B47" s="10"/>
      <c r="C47" s="6" t="s">
        <v>43</v>
      </c>
      <c r="D47" s="10"/>
      <c r="E47" s="281">
        <f t="shared" ref="E47:F47" si="52">E16/E$9</f>
        <v>0.15767344078486334</v>
      </c>
      <c r="F47" s="281">
        <f t="shared" si="52"/>
        <v>4.1407867494824016E-2</v>
      </c>
      <c r="G47" s="281">
        <f t="shared" ref="G47" si="53">G16/G$9</f>
        <v>7.8534031413612565E-2</v>
      </c>
      <c r="H47" s="281">
        <f t="shared" si="39"/>
        <v>0.15251989389920426</v>
      </c>
      <c r="I47" s="281">
        <f t="shared" si="36"/>
        <v>0.19971570717839374</v>
      </c>
      <c r="J47" s="281">
        <f t="shared" si="36"/>
        <v>6.7406143344709901E-2</v>
      </c>
      <c r="K47" s="281">
        <f t="shared" si="36"/>
        <v>0.12651162790697673</v>
      </c>
      <c r="L47" s="281">
        <f t="shared" si="36"/>
        <v>0.15576694411414982</v>
      </c>
      <c r="M47" s="281">
        <f t="shared" si="36"/>
        <v>0.13122171945701358</v>
      </c>
      <c r="N47" s="281">
        <f t="shared" ref="N47:O47" si="54">N16/N$9</f>
        <v>8.0815709969788513E-2</v>
      </c>
      <c r="O47" s="281">
        <f t="shared" si="54"/>
        <v>0.11047619047619048</v>
      </c>
      <c r="P47" s="281">
        <f t="shared" ref="P47" si="55">P16/P$9</f>
        <v>0.20839363241678727</v>
      </c>
    </row>
    <row r="48" spans="1:19">
      <c r="A48" s="10"/>
      <c r="B48" s="10"/>
      <c r="C48" s="6" t="s">
        <v>44</v>
      </c>
      <c r="D48" s="10"/>
      <c r="E48" s="281">
        <f t="shared" ref="E48:F48" si="56">E17/E$9</f>
        <v>8.5494043447792573E-2</v>
      </c>
      <c r="F48" s="281">
        <f t="shared" si="56"/>
        <v>7.0393374741200831E-2</v>
      </c>
      <c r="G48" s="281">
        <f t="shared" ref="G48" si="57">G17/G$9</f>
        <v>0.11082024432809773</v>
      </c>
      <c r="H48" s="281">
        <f t="shared" si="39"/>
        <v>0.13793103448275862</v>
      </c>
      <c r="I48" s="281">
        <f t="shared" si="36"/>
        <v>8.6709310589907607E-2</v>
      </c>
      <c r="J48" s="281">
        <f t="shared" si="36"/>
        <v>8.7030716723549492E-2</v>
      </c>
      <c r="K48" s="281">
        <f t="shared" si="36"/>
        <v>0.17674418604651163</v>
      </c>
      <c r="L48" s="281">
        <f t="shared" si="36"/>
        <v>0.14387633769322236</v>
      </c>
      <c r="M48" s="281">
        <f t="shared" si="36"/>
        <v>8.3710407239818999E-2</v>
      </c>
      <c r="N48" s="281">
        <f t="shared" ref="N48:O48" si="58">N17/N$9</f>
        <v>6.7220543806646521E-2</v>
      </c>
      <c r="O48" s="281">
        <f t="shared" si="58"/>
        <v>9.1428571428571428E-2</v>
      </c>
      <c r="P48" s="281">
        <f t="shared" ref="P48" si="59">P17/P$9</f>
        <v>0.23444283646888567</v>
      </c>
    </row>
    <row r="49" spans="1:16">
      <c r="A49" s="10"/>
      <c r="B49" s="10"/>
      <c r="C49" s="6" t="s">
        <v>45</v>
      </c>
      <c r="D49" s="10"/>
      <c r="E49" s="282">
        <f t="shared" ref="E49:F49" si="60">E18/E$9</f>
        <v>0</v>
      </c>
      <c r="F49" s="282">
        <f t="shared" si="60"/>
        <v>1.3112491373360938E-2</v>
      </c>
      <c r="G49" s="282">
        <f t="shared" ref="G49" si="61">G18/G$9</f>
        <v>2.617801047120419E-3</v>
      </c>
      <c r="H49" s="282">
        <f t="shared" si="39"/>
        <v>3.9787798408488064E-3</v>
      </c>
      <c r="I49" s="282">
        <f t="shared" si="36"/>
        <v>7.1073205401563609E-4</v>
      </c>
      <c r="J49" s="282">
        <f t="shared" si="36"/>
        <v>0</v>
      </c>
      <c r="K49" s="282">
        <f t="shared" si="36"/>
        <v>0</v>
      </c>
      <c r="L49" s="282">
        <f t="shared" si="36"/>
        <v>0</v>
      </c>
      <c r="M49" s="281">
        <f t="shared" si="36"/>
        <v>0</v>
      </c>
      <c r="N49" s="281">
        <f t="shared" ref="N49:O49" si="62">N18/N$9</f>
        <v>0</v>
      </c>
      <c r="O49" s="281">
        <f t="shared" si="62"/>
        <v>0</v>
      </c>
      <c r="P49" s="281">
        <f t="shared" ref="P49" si="63">P18/P$9</f>
        <v>0</v>
      </c>
    </row>
    <row r="50" spans="1:16" ht="16.5">
      <c r="A50" s="10"/>
      <c r="B50" s="10"/>
      <c r="C50" s="6" t="s">
        <v>46</v>
      </c>
      <c r="D50" s="10"/>
      <c r="E50" s="283">
        <f t="shared" ref="E50:F50" si="64">E19/E$9</f>
        <v>0.22845129642606868</v>
      </c>
      <c r="F50" s="283">
        <f t="shared" si="64"/>
        <v>0</v>
      </c>
      <c r="G50" s="283">
        <f t="shared" ref="G50" si="65">G19/G$9</f>
        <v>0</v>
      </c>
      <c r="H50" s="283">
        <f t="shared" si="39"/>
        <v>0</v>
      </c>
      <c r="I50" s="283">
        <f t="shared" si="36"/>
        <v>0</v>
      </c>
      <c r="J50" s="283">
        <f t="shared" si="36"/>
        <v>0</v>
      </c>
      <c r="K50" s="283">
        <f t="shared" si="36"/>
        <v>0</v>
      </c>
      <c r="L50" s="283">
        <f t="shared" si="36"/>
        <v>0</v>
      </c>
      <c r="M50" s="283">
        <f t="shared" si="36"/>
        <v>0</v>
      </c>
      <c r="N50" s="283">
        <f t="shared" ref="N50:O50" si="66">N19/N$9</f>
        <v>0</v>
      </c>
      <c r="O50" s="283">
        <f t="shared" si="66"/>
        <v>0</v>
      </c>
      <c r="P50" s="283">
        <f t="shared" ref="P50" si="67">P19/P$9</f>
        <v>0</v>
      </c>
    </row>
    <row r="51" spans="1:16" ht="16.5">
      <c r="A51" s="10"/>
      <c r="B51" s="10"/>
      <c r="C51" s="10"/>
      <c r="D51" s="10" t="s">
        <v>184</v>
      </c>
      <c r="E51" s="283">
        <f t="shared" ref="E51:F51" si="68">E20/E$9</f>
        <v>1.2782060266292923</v>
      </c>
      <c r="F51" s="283">
        <f t="shared" si="68"/>
        <v>0.5348516218081435</v>
      </c>
      <c r="G51" s="283">
        <f t="shared" ref="G51" si="69">G20/G$9</f>
        <v>0.5924956369982548</v>
      </c>
      <c r="H51" s="283">
        <f t="shared" si="39"/>
        <v>0.78514588859416445</v>
      </c>
      <c r="I51" s="283">
        <f t="shared" si="36"/>
        <v>0.98223169864960913</v>
      </c>
      <c r="J51" s="283">
        <f t="shared" si="36"/>
        <v>0.5622866894197952</v>
      </c>
      <c r="K51" s="283">
        <f t="shared" si="36"/>
        <v>0.78883720930232559</v>
      </c>
      <c r="L51" s="283">
        <f t="shared" si="36"/>
        <v>0.73008323424494648</v>
      </c>
      <c r="M51" s="283">
        <f t="shared" si="36"/>
        <v>0.72624434389140269</v>
      </c>
      <c r="N51" s="283">
        <f t="shared" ref="N51:O51" si="70">N20/N$9</f>
        <v>0.55664652567975825</v>
      </c>
      <c r="O51" s="283">
        <f t="shared" si="70"/>
        <v>0.59047619047619049</v>
      </c>
      <c r="P51" s="283">
        <f t="shared" ref="P51" si="71">P20/P$9</f>
        <v>0.89869753979739508</v>
      </c>
    </row>
    <row r="52" spans="1:16">
      <c r="A52" s="11"/>
      <c r="B52" s="25" t="s">
        <v>1</v>
      </c>
      <c r="C52" s="3"/>
      <c r="D52" s="11"/>
      <c r="E52" s="284">
        <f t="shared" ref="E52:F52" si="72">E21/E$9</f>
        <v>-0.27820602662929222</v>
      </c>
      <c r="F52" s="284">
        <f t="shared" si="72"/>
        <v>0.46514837819185645</v>
      </c>
      <c r="G52" s="284">
        <f>G21/G$9</f>
        <v>0.4075043630017452</v>
      </c>
      <c r="H52" s="284">
        <f t="shared" si="39"/>
        <v>0.21485411140583555</v>
      </c>
      <c r="I52" s="284">
        <f t="shared" ref="I52:K56" si="73">I21/I$9</f>
        <v>1.7768301350390904E-2</v>
      </c>
      <c r="J52" s="284">
        <f t="shared" si="73"/>
        <v>0.4377133105802048</v>
      </c>
      <c r="K52" s="284">
        <f t="shared" si="73"/>
        <v>0.21116279069767441</v>
      </c>
      <c r="L52" s="284">
        <f t="shared" ref="L52:M52" si="74">L21/L$9</f>
        <v>0.26991676575505352</v>
      </c>
      <c r="M52" s="284">
        <f t="shared" si="74"/>
        <v>0.27375565610859731</v>
      </c>
      <c r="N52" s="284">
        <f t="shared" ref="N52:O52" si="75">N21/N$9</f>
        <v>0.44335347432024169</v>
      </c>
      <c r="O52" s="284">
        <f t="shared" si="75"/>
        <v>0.40952380952380951</v>
      </c>
      <c r="P52" s="284">
        <f t="shared" ref="P52" si="76">P21/P$9</f>
        <v>0.10130246020260492</v>
      </c>
    </row>
    <row r="53" spans="1:16" ht="16.5">
      <c r="A53" s="12"/>
      <c r="B53" s="2" t="s">
        <v>209</v>
      </c>
      <c r="C53" s="12"/>
      <c r="D53" s="12"/>
      <c r="E53" s="283">
        <f t="shared" ref="E53:F53" si="77">E22/E$9</f>
        <v>5.6061667834618077E-3</v>
      </c>
      <c r="F53" s="283">
        <f t="shared" si="77"/>
        <v>1.3802622498274672E-3</v>
      </c>
      <c r="G53" s="283">
        <f t="shared" ref="G53" si="78">G22/G$9</f>
        <v>1.7452006980802793E-3</v>
      </c>
      <c r="H53" s="283">
        <f t="shared" si="39"/>
        <v>3.9787798408488064E-3</v>
      </c>
      <c r="I53" s="283">
        <f t="shared" si="73"/>
        <v>-3.5536602700781805E-3</v>
      </c>
      <c r="J53" s="283">
        <f t="shared" si="73"/>
        <v>8.5324232081911264E-4</v>
      </c>
      <c r="K53" s="283">
        <f t="shared" si="73"/>
        <v>1.8604651162790699E-3</v>
      </c>
      <c r="L53" s="283">
        <f t="shared" ref="L53:M55" si="79">L22/L$9</f>
        <v>1.1890606420927466E-3</v>
      </c>
      <c r="M53" s="283">
        <f t="shared" si="79"/>
        <v>1.6968325791855204E-3</v>
      </c>
      <c r="N53" s="283">
        <f t="shared" ref="N53:O53" si="80">N22/N$9</f>
        <v>1.5105740181268882E-3</v>
      </c>
      <c r="O53" s="283">
        <f t="shared" si="80"/>
        <v>0</v>
      </c>
      <c r="P53" s="283">
        <f t="shared" ref="P53" si="81">P22/P$9</f>
        <v>-5.7887120115774236E-3</v>
      </c>
    </row>
    <row r="54" spans="1:16">
      <c r="A54" s="12"/>
      <c r="B54" s="22" t="s">
        <v>47</v>
      </c>
      <c r="C54" s="4"/>
      <c r="D54" s="12"/>
      <c r="E54" s="281">
        <f t="shared" ref="E54:F54" si="82">E23/E$9</f>
        <v>-0.27259985984583041</v>
      </c>
      <c r="F54" s="281">
        <f t="shared" si="82"/>
        <v>0.46652864044168391</v>
      </c>
      <c r="G54" s="281">
        <f t="shared" ref="G54" si="83">G23/G$9</f>
        <v>0.40924956369982546</v>
      </c>
      <c r="H54" s="281">
        <f t="shared" si="39"/>
        <v>0.21883289124668434</v>
      </c>
      <c r="I54" s="281">
        <f t="shared" si="73"/>
        <v>1.4214641080312722E-2</v>
      </c>
      <c r="J54" s="281">
        <f t="shared" si="73"/>
        <v>0.43856655290102387</v>
      </c>
      <c r="K54" s="281">
        <f t="shared" si="73"/>
        <v>0.21302325581395348</v>
      </c>
      <c r="L54" s="281">
        <f t="shared" si="79"/>
        <v>0.27110582639714625</v>
      </c>
      <c r="M54" s="281">
        <f t="shared" si="79"/>
        <v>0.27545248868778283</v>
      </c>
      <c r="N54" s="281">
        <f t="shared" ref="N54:O54" si="84">N23/N$9</f>
        <v>0.44486404833836857</v>
      </c>
      <c r="O54" s="281">
        <f t="shared" si="84"/>
        <v>0.40952380952380951</v>
      </c>
      <c r="P54" s="281">
        <f t="shared" ref="P54" si="85">P23/P$9</f>
        <v>9.5513748191027495E-2</v>
      </c>
    </row>
    <row r="55" spans="1:16" ht="16.5">
      <c r="A55" s="12"/>
      <c r="B55" s="2" t="s">
        <v>48</v>
      </c>
      <c r="C55" s="4"/>
      <c r="D55" s="12"/>
      <c r="E55" s="283">
        <f t="shared" ref="E55:F55" si="86">E24/E$9</f>
        <v>-0.10932025227750526</v>
      </c>
      <c r="F55" s="283">
        <f t="shared" si="86"/>
        <v>0.11939268461007592</v>
      </c>
      <c r="G55" s="283">
        <f t="shared" ref="G55" si="87">G24/G$9</f>
        <v>0.1169284467713787</v>
      </c>
      <c r="H55" s="283">
        <f t="shared" si="39"/>
        <v>2.2546419098143235E-2</v>
      </c>
      <c r="I55" s="283">
        <f t="shared" si="73"/>
        <v>-5.614783226723525E-2</v>
      </c>
      <c r="J55" s="283">
        <f t="shared" si="73"/>
        <v>0.11092150170648464</v>
      </c>
      <c r="K55" s="283">
        <f t="shared" si="73"/>
        <v>4.0930232558139532E-2</v>
      </c>
      <c r="L55" s="283">
        <f t="shared" si="79"/>
        <v>2.3781212841854932E-3</v>
      </c>
      <c r="M55" s="283">
        <f t="shared" si="79"/>
        <v>7.5226244343891399E-2</v>
      </c>
      <c r="N55" s="283">
        <f t="shared" ref="N55:O55" si="88">N24/N$9</f>
        <v>0.10045317220543806</v>
      </c>
      <c r="O55" s="283">
        <f t="shared" si="88"/>
        <v>0.10095238095238095</v>
      </c>
      <c r="P55" s="283">
        <f t="shared" ref="P55" si="89">P24/P$9</f>
        <v>1.4471780028943559E-2</v>
      </c>
    </row>
    <row r="56" spans="1:16" ht="16.5">
      <c r="A56" s="9"/>
      <c r="B56" s="25" t="s">
        <v>2</v>
      </c>
      <c r="C56" s="9"/>
      <c r="D56" s="9"/>
      <c r="E56" s="285">
        <f t="shared" ref="E56:F56" si="90">E25/E$9</f>
        <v>-0.16327960756832516</v>
      </c>
      <c r="F56" s="285">
        <f t="shared" si="90"/>
        <v>0.347135955831608</v>
      </c>
      <c r="G56" s="285">
        <f t="shared" ref="G56" si="91">G25/G$9</f>
        <v>0.29232111692844676</v>
      </c>
      <c r="H56" s="285">
        <f t="shared" si="39"/>
        <v>0.19628647214854111</v>
      </c>
      <c r="I56" s="285">
        <f t="shared" si="73"/>
        <v>7.0362473347547971E-2</v>
      </c>
      <c r="J56" s="285">
        <f t="shared" si="73"/>
        <v>0.32764505119453924</v>
      </c>
      <c r="K56" s="285">
        <f t="shared" si="73"/>
        <v>0.17209302325581396</v>
      </c>
      <c r="L56" s="285">
        <f t="shared" ref="L56:M56" si="92">L25/L$9</f>
        <v>0.26872770511296074</v>
      </c>
      <c r="M56" s="285">
        <f t="shared" si="92"/>
        <v>0.20022624434389141</v>
      </c>
      <c r="N56" s="285">
        <f t="shared" ref="N56:O56" si="93">N25/N$9</f>
        <v>0.34441087613293053</v>
      </c>
      <c r="O56" s="285">
        <f t="shared" si="93"/>
        <v>0.30857142857142855</v>
      </c>
      <c r="P56" s="285">
        <f t="shared" ref="P56" si="94">P25/P$9</f>
        <v>8.1041968162083936E-2</v>
      </c>
    </row>
    <row r="57" spans="1:16" ht="16.5">
      <c r="A57" s="9"/>
      <c r="B57" s="25"/>
      <c r="C57" s="9"/>
      <c r="D57" s="9"/>
      <c r="E57" s="285"/>
      <c r="F57" s="285"/>
      <c r="G57" s="285"/>
      <c r="H57" s="285"/>
      <c r="I57" s="285"/>
      <c r="J57" s="285"/>
      <c r="K57" s="285"/>
      <c r="L57" s="285"/>
      <c r="M57" s="285"/>
      <c r="N57" s="285"/>
      <c r="O57" s="285"/>
      <c r="P57" s="285"/>
    </row>
    <row r="58" spans="1:16">
      <c r="A58" s="20" t="s">
        <v>27</v>
      </c>
      <c r="B58" s="23"/>
      <c r="C58" s="24"/>
      <c r="D58" s="23"/>
      <c r="H58" s="263"/>
      <c r="I58" s="263"/>
      <c r="J58" s="263"/>
      <c r="K58" s="263"/>
      <c r="L58" s="263"/>
      <c r="M58" s="263"/>
      <c r="N58" s="263"/>
      <c r="O58" s="263"/>
      <c r="P58" s="263"/>
    </row>
    <row r="59" spans="1:16" ht="14.25" customHeight="1">
      <c r="A59" s="23"/>
      <c r="B59" s="24"/>
      <c r="C59" s="24"/>
      <c r="D59" s="23"/>
      <c r="E59" s="264" t="str">
        <f t="shared" ref="E59:P59" si="95">E6</f>
        <v>Q4</v>
      </c>
      <c r="F59" s="264" t="str">
        <f t="shared" si="95"/>
        <v>Q1</v>
      </c>
      <c r="G59" s="264" t="str">
        <f t="shared" si="95"/>
        <v>Q2</v>
      </c>
      <c r="H59" s="264" t="str">
        <f t="shared" si="95"/>
        <v>Q3</v>
      </c>
      <c r="I59" s="264" t="str">
        <f t="shared" si="95"/>
        <v>Q4</v>
      </c>
      <c r="J59" s="264" t="str">
        <f t="shared" si="95"/>
        <v>Q1</v>
      </c>
      <c r="K59" s="264" t="str">
        <f t="shared" si="95"/>
        <v>Q2</v>
      </c>
      <c r="L59" s="264" t="str">
        <f t="shared" si="95"/>
        <v>Q3</v>
      </c>
      <c r="M59" s="264" t="str">
        <f t="shared" si="95"/>
        <v>Q4</v>
      </c>
      <c r="N59" s="264" t="str">
        <f t="shared" si="95"/>
        <v>Q1</v>
      </c>
      <c r="O59" s="264" t="str">
        <f t="shared" si="95"/>
        <v>Q2</v>
      </c>
      <c r="P59" s="264" t="str">
        <f t="shared" si="95"/>
        <v>Q3</v>
      </c>
    </row>
    <row r="60" spans="1:16">
      <c r="A60" s="23"/>
      <c r="B60" s="26"/>
      <c r="C60" s="26"/>
      <c r="D60" s="23"/>
      <c r="E60" s="265" t="str">
        <f t="shared" ref="E60:P60" si="96">E7</f>
        <v>CY10</v>
      </c>
      <c r="F60" s="265" t="str">
        <f t="shared" si="96"/>
        <v>CY11</v>
      </c>
      <c r="G60" s="265" t="str">
        <f t="shared" si="96"/>
        <v>CY11</v>
      </c>
      <c r="H60" s="265" t="str">
        <f t="shared" si="96"/>
        <v>CY11</v>
      </c>
      <c r="I60" s="265" t="str">
        <f t="shared" si="96"/>
        <v>CY11</v>
      </c>
      <c r="J60" s="265" t="str">
        <f t="shared" si="96"/>
        <v>CY12</v>
      </c>
      <c r="K60" s="265" t="str">
        <f t="shared" si="96"/>
        <v>CY12</v>
      </c>
      <c r="L60" s="265" t="str">
        <f t="shared" si="96"/>
        <v>CY12</v>
      </c>
      <c r="M60" s="265" t="str">
        <f t="shared" si="96"/>
        <v>CY12</v>
      </c>
      <c r="N60" s="265" t="str">
        <f t="shared" si="96"/>
        <v>CY13</v>
      </c>
      <c r="O60" s="265" t="str">
        <f t="shared" si="96"/>
        <v>CY13</v>
      </c>
      <c r="P60" s="265" t="str">
        <f t="shared" si="96"/>
        <v>CY13</v>
      </c>
    </row>
    <row r="61" spans="1:16" ht="7.5" customHeight="1">
      <c r="A61" s="21"/>
      <c r="B61" s="21"/>
      <c r="C61" s="21"/>
      <c r="D61" s="21"/>
      <c r="G61" s="286"/>
      <c r="H61" s="286"/>
      <c r="I61" s="286"/>
      <c r="J61" s="286"/>
      <c r="K61" s="286"/>
      <c r="L61" s="286"/>
      <c r="M61" s="286"/>
      <c r="N61" s="286"/>
      <c r="O61" s="286"/>
      <c r="P61" s="286"/>
    </row>
    <row r="62" spans="1:16">
      <c r="A62" s="8"/>
      <c r="B62" s="1" t="s">
        <v>186</v>
      </c>
      <c r="C62" s="9"/>
      <c r="D62" s="8"/>
      <c r="E62" s="266">
        <v>2548</v>
      </c>
      <c r="F62" s="266">
        <v>755</v>
      </c>
      <c r="G62" s="266">
        <v>699</v>
      </c>
      <c r="H62" s="266">
        <v>627</v>
      </c>
      <c r="I62" s="266">
        <v>2408</v>
      </c>
      <c r="J62" s="266">
        <v>587</v>
      </c>
      <c r="K62" s="266">
        <v>1054</v>
      </c>
      <c r="L62" s="266">
        <v>751</v>
      </c>
      <c r="M62" s="266">
        <v>2595</v>
      </c>
      <c r="N62" s="266">
        <v>804</v>
      </c>
      <c r="O62" s="266">
        <v>608</v>
      </c>
      <c r="P62" s="266">
        <v>657</v>
      </c>
    </row>
    <row r="63" spans="1:16">
      <c r="A63" s="8"/>
      <c r="B63" s="1" t="s">
        <v>185</v>
      </c>
      <c r="C63" s="9"/>
      <c r="D63" s="8"/>
      <c r="E63" s="266"/>
      <c r="F63" s="266"/>
      <c r="G63" s="266"/>
      <c r="H63" s="266"/>
      <c r="I63" s="266"/>
      <c r="J63" s="266"/>
      <c r="K63" s="266"/>
      <c r="L63" s="266"/>
      <c r="M63" s="266"/>
      <c r="N63" s="266"/>
      <c r="O63" s="266"/>
      <c r="P63" s="266"/>
    </row>
    <row r="64" spans="1:16" s="43" customFormat="1">
      <c r="A64" s="10"/>
      <c r="C64" s="2" t="s">
        <v>196</v>
      </c>
      <c r="D64" s="10"/>
      <c r="E64" s="267">
        <v>783</v>
      </c>
      <c r="F64" s="267">
        <v>167</v>
      </c>
      <c r="G64" s="267">
        <v>135</v>
      </c>
      <c r="H64" s="267">
        <v>128</v>
      </c>
      <c r="I64" s="267">
        <v>690</v>
      </c>
      <c r="J64" s="267">
        <v>138</v>
      </c>
      <c r="K64" s="267">
        <v>168</v>
      </c>
      <c r="L64" s="267">
        <v>141</v>
      </c>
      <c r="M64" s="267">
        <v>669</v>
      </c>
      <c r="N64" s="267">
        <v>145</v>
      </c>
      <c r="O64" s="267">
        <v>102</v>
      </c>
      <c r="P64" s="267">
        <v>112</v>
      </c>
    </row>
    <row r="65" spans="1:18" s="43" customFormat="1">
      <c r="A65" s="10"/>
      <c r="C65" s="2" t="s">
        <v>213</v>
      </c>
      <c r="D65" s="10"/>
      <c r="E65" s="267">
        <f>73+3</f>
        <v>76</v>
      </c>
      <c r="F65" s="267">
        <f>63+3</f>
        <v>66</v>
      </c>
      <c r="G65" s="267">
        <f>59+3</f>
        <v>62</v>
      </c>
      <c r="H65" s="267">
        <f>59+4</f>
        <v>63</v>
      </c>
      <c r="I65" s="267">
        <f>58+7</f>
        <v>65</v>
      </c>
      <c r="J65" s="267">
        <f>59+10</f>
        <v>69</v>
      </c>
      <c r="K65" s="267">
        <f>64+7</f>
        <v>71</v>
      </c>
      <c r="L65" s="267">
        <f>56+6</f>
        <v>62</v>
      </c>
      <c r="M65" s="267">
        <f>53+7</f>
        <v>60</v>
      </c>
      <c r="N65" s="267">
        <v>57</v>
      </c>
      <c r="O65" s="267">
        <v>54</v>
      </c>
      <c r="P65" s="267">
        <v>43</v>
      </c>
    </row>
    <row r="66" spans="1:18" s="43" customFormat="1">
      <c r="A66" s="10"/>
      <c r="C66" s="2" t="s">
        <v>194</v>
      </c>
      <c r="D66" s="10"/>
      <c r="E66" s="267">
        <v>153</v>
      </c>
      <c r="F66" s="267">
        <v>15</v>
      </c>
      <c r="G66" s="267">
        <v>12</v>
      </c>
      <c r="H66" s="267">
        <v>14</v>
      </c>
      <c r="I66" s="267">
        <v>119</v>
      </c>
      <c r="J66" s="267">
        <v>10</v>
      </c>
      <c r="K66" s="267">
        <v>54</v>
      </c>
      <c r="L66" s="267">
        <v>41</v>
      </c>
      <c r="M66" s="267">
        <v>115</v>
      </c>
      <c r="N66" s="267">
        <v>23</v>
      </c>
      <c r="O66" s="267">
        <v>9</v>
      </c>
      <c r="P66" s="267">
        <v>12</v>
      </c>
    </row>
    <row r="67" spans="1:18" s="43" customFormat="1">
      <c r="A67" s="10"/>
      <c r="C67" s="2" t="s">
        <v>195</v>
      </c>
      <c r="D67" s="10"/>
      <c r="E67" s="267">
        <v>40</v>
      </c>
      <c r="F67" s="267">
        <v>7</v>
      </c>
      <c r="G67" s="267">
        <v>12</v>
      </c>
      <c r="H67" s="267">
        <v>7</v>
      </c>
      <c r="I67" s="267">
        <v>45</v>
      </c>
      <c r="J67" s="267">
        <v>3</v>
      </c>
      <c r="K67" s="267">
        <v>18</v>
      </c>
      <c r="L67" s="267">
        <v>9</v>
      </c>
      <c r="M67" s="267">
        <v>32</v>
      </c>
      <c r="N67" s="267">
        <v>32</v>
      </c>
      <c r="O67" s="267">
        <v>10</v>
      </c>
      <c r="P67" s="267">
        <v>2</v>
      </c>
    </row>
    <row r="68" spans="1:18">
      <c r="A68" s="10"/>
      <c r="B68" s="10"/>
      <c r="C68" s="6" t="s">
        <v>42</v>
      </c>
      <c r="D68" s="10"/>
      <c r="E68" s="268">
        <f>267-2-3</f>
        <v>262</v>
      </c>
      <c r="F68" s="268">
        <f>136-3</f>
        <v>133</v>
      </c>
      <c r="G68" s="268">
        <f>111-3</f>
        <v>108</v>
      </c>
      <c r="H68" s="268">
        <f>128-4</f>
        <v>124</v>
      </c>
      <c r="I68" s="268">
        <f>231-7</f>
        <v>224</v>
      </c>
      <c r="J68" s="268">
        <f>120-10</f>
        <v>110</v>
      </c>
      <c r="K68" s="268">
        <f>147-7</f>
        <v>140</v>
      </c>
      <c r="L68" s="268">
        <f>126-6</f>
        <v>120</v>
      </c>
      <c r="M68" s="268">
        <f>223-7</f>
        <v>216</v>
      </c>
      <c r="N68" s="268">
        <v>118</v>
      </c>
      <c r="O68" s="268">
        <v>116</v>
      </c>
      <c r="P68" s="268">
        <v>131</v>
      </c>
    </row>
    <row r="69" spans="1:18">
      <c r="A69" s="10"/>
      <c r="B69" s="10"/>
      <c r="C69" s="6" t="s">
        <v>43</v>
      </c>
      <c r="D69" s="10"/>
      <c r="E69" s="268">
        <f>224-1</f>
        <v>223</v>
      </c>
      <c r="F69" s="268">
        <f>63-4</f>
        <v>59</v>
      </c>
      <c r="G69" s="268">
        <v>92</v>
      </c>
      <c r="H69" s="268">
        <v>113</v>
      </c>
      <c r="I69" s="268">
        <v>279</v>
      </c>
      <c r="J69" s="268">
        <v>77</v>
      </c>
      <c r="K69" s="268">
        <v>135</v>
      </c>
      <c r="L69" s="268">
        <v>129</v>
      </c>
      <c r="M69" s="268">
        <v>230</v>
      </c>
      <c r="N69" s="268">
        <v>105</v>
      </c>
      <c r="O69" s="268">
        <v>114</v>
      </c>
      <c r="P69" s="268">
        <v>142</v>
      </c>
    </row>
    <row r="70" spans="1:18" ht="16.5">
      <c r="A70" s="10"/>
      <c r="B70" s="10"/>
      <c r="C70" s="6" t="s">
        <v>44</v>
      </c>
      <c r="D70" s="10"/>
      <c r="E70" s="269">
        <f>107+3</f>
        <v>110</v>
      </c>
      <c r="F70" s="269">
        <f>86+4</f>
        <v>90</v>
      </c>
      <c r="G70" s="269">
        <v>113</v>
      </c>
      <c r="H70" s="269">
        <v>93</v>
      </c>
      <c r="I70" s="269">
        <v>96</v>
      </c>
      <c r="J70" s="269">
        <v>90</v>
      </c>
      <c r="K70" s="269">
        <v>168</v>
      </c>
      <c r="L70" s="269">
        <v>95</v>
      </c>
      <c r="M70" s="269">
        <v>119</v>
      </c>
      <c r="N70" s="269">
        <v>77</v>
      </c>
      <c r="O70" s="269">
        <v>84</v>
      </c>
      <c r="P70" s="269">
        <v>87</v>
      </c>
    </row>
    <row r="71" spans="1:18" ht="16.5">
      <c r="A71" s="10"/>
      <c r="B71" s="10"/>
      <c r="C71" s="10"/>
      <c r="D71" s="10" t="s">
        <v>184</v>
      </c>
      <c r="E71" s="269">
        <f t="shared" ref="E71:F71" si="97">SUM(E64:E70)</f>
        <v>1647</v>
      </c>
      <c r="F71" s="269">
        <f t="shared" si="97"/>
        <v>537</v>
      </c>
      <c r="G71" s="269">
        <f t="shared" ref="G71:H71" si="98">SUM(G64:G70)</f>
        <v>534</v>
      </c>
      <c r="H71" s="269">
        <f t="shared" si="98"/>
        <v>542</v>
      </c>
      <c r="I71" s="269">
        <f t="shared" ref="I71:J71" si="99">SUM(I64:I70)</f>
        <v>1518</v>
      </c>
      <c r="J71" s="269">
        <f t="shared" si="99"/>
        <v>497</v>
      </c>
      <c r="K71" s="269">
        <f t="shared" ref="K71:L71" si="100">SUM(K64:K70)</f>
        <v>754</v>
      </c>
      <c r="L71" s="269">
        <f t="shared" si="100"/>
        <v>597</v>
      </c>
      <c r="M71" s="269">
        <f t="shared" ref="M71:N71" si="101">SUM(M64:M70)</f>
        <v>1441</v>
      </c>
      <c r="N71" s="269">
        <f t="shared" si="101"/>
        <v>557</v>
      </c>
      <c r="O71" s="269">
        <f t="shared" ref="O71:P71" si="102">SUM(O64:O70)</f>
        <v>489</v>
      </c>
      <c r="P71" s="269">
        <f t="shared" si="102"/>
        <v>529</v>
      </c>
    </row>
    <row r="72" spans="1:18">
      <c r="A72" s="11"/>
      <c r="B72" s="25" t="s">
        <v>1</v>
      </c>
      <c r="C72" s="3"/>
      <c r="D72" s="11"/>
      <c r="E72" s="270">
        <f t="shared" ref="E72:F72" si="103">+E62-E71</f>
        <v>901</v>
      </c>
      <c r="F72" s="270">
        <f t="shared" si="103"/>
        <v>218</v>
      </c>
      <c r="G72" s="270">
        <f t="shared" ref="G72:L72" si="104">+G62-G71</f>
        <v>165</v>
      </c>
      <c r="H72" s="270">
        <f t="shared" si="104"/>
        <v>85</v>
      </c>
      <c r="I72" s="270">
        <f t="shared" si="104"/>
        <v>890</v>
      </c>
      <c r="J72" s="270">
        <f t="shared" si="104"/>
        <v>90</v>
      </c>
      <c r="K72" s="270">
        <f t="shared" si="104"/>
        <v>300</v>
      </c>
      <c r="L72" s="270">
        <f t="shared" si="104"/>
        <v>154</v>
      </c>
      <c r="M72" s="270">
        <f t="shared" ref="M72:N72" si="105">+M62-M71</f>
        <v>1154</v>
      </c>
      <c r="N72" s="270">
        <f t="shared" si="105"/>
        <v>247</v>
      </c>
      <c r="O72" s="270">
        <f t="shared" ref="O72:P72" si="106">+O62-O71</f>
        <v>119</v>
      </c>
      <c r="P72" s="270">
        <f t="shared" si="106"/>
        <v>128</v>
      </c>
    </row>
    <row r="73" spans="1:18" s="46" customFormat="1" ht="16.5">
      <c r="A73" s="44"/>
      <c r="B73" s="45" t="s">
        <v>209</v>
      </c>
      <c r="C73" s="44"/>
      <c r="D73" s="44"/>
      <c r="E73" s="269">
        <v>8</v>
      </c>
      <c r="F73" s="269">
        <v>2</v>
      </c>
      <c r="G73" s="269">
        <v>2</v>
      </c>
      <c r="H73" s="269">
        <v>3</v>
      </c>
      <c r="I73" s="269">
        <v>-5</v>
      </c>
      <c r="J73" s="269">
        <v>1</v>
      </c>
      <c r="K73" s="269">
        <v>2</v>
      </c>
      <c r="L73" s="269">
        <v>1</v>
      </c>
      <c r="M73" s="269">
        <v>3</v>
      </c>
      <c r="N73" s="269">
        <v>2</v>
      </c>
      <c r="O73" s="269">
        <v>0</v>
      </c>
      <c r="P73" s="269">
        <v>-4</v>
      </c>
    </row>
    <row r="74" spans="1:18" s="46" customFormat="1">
      <c r="A74" s="44"/>
      <c r="B74" s="47" t="s">
        <v>47</v>
      </c>
      <c r="C74" s="48"/>
      <c r="D74" s="44"/>
      <c r="E74" s="268">
        <f t="shared" ref="E74" si="107">SUM(E72:E73)</f>
        <v>909</v>
      </c>
      <c r="F74" s="268">
        <f t="shared" ref="F74:G74" si="108">SUM(F72:F73)</f>
        <v>220</v>
      </c>
      <c r="G74" s="268">
        <f t="shared" si="108"/>
        <v>167</v>
      </c>
      <c r="H74" s="268">
        <f t="shared" ref="H74:I74" si="109">SUM(H72:H73)</f>
        <v>88</v>
      </c>
      <c r="I74" s="268">
        <f t="shared" si="109"/>
        <v>885</v>
      </c>
      <c r="J74" s="268">
        <f t="shared" ref="J74:K74" si="110">SUM(J72:J73)</f>
        <v>91</v>
      </c>
      <c r="K74" s="268">
        <f t="shared" si="110"/>
        <v>302</v>
      </c>
      <c r="L74" s="268">
        <f t="shared" ref="L74:M74" si="111">SUM(L72:L73)</f>
        <v>155</v>
      </c>
      <c r="M74" s="268">
        <f t="shared" si="111"/>
        <v>1157</v>
      </c>
      <c r="N74" s="268">
        <f t="shared" ref="N74:O74" si="112">SUM(N72:N73)</f>
        <v>249</v>
      </c>
      <c r="O74" s="268">
        <f t="shared" si="112"/>
        <v>119</v>
      </c>
      <c r="P74" s="268">
        <f t="shared" ref="P74" si="113">SUM(P72:P73)</f>
        <v>124</v>
      </c>
    </row>
    <row r="75" spans="1:18" s="46" customFormat="1" ht="16.5">
      <c r="A75" s="44"/>
      <c r="B75" s="45" t="s">
        <v>48</v>
      </c>
      <c r="C75" s="48"/>
      <c r="D75" s="44"/>
      <c r="E75" s="269">
        <f>254</f>
        <v>254</v>
      </c>
      <c r="F75" s="269">
        <v>64</v>
      </c>
      <c r="G75" s="269">
        <v>49</v>
      </c>
      <c r="H75" s="269">
        <v>1</v>
      </c>
      <c r="I75" s="269">
        <v>160</v>
      </c>
      <c r="J75" s="269">
        <v>24</v>
      </c>
      <c r="K75" s="269">
        <v>78</v>
      </c>
      <c r="L75" s="269">
        <v>-13</v>
      </c>
      <c r="M75" s="269">
        <v>266</v>
      </c>
      <c r="N75" s="269">
        <v>50</v>
      </c>
      <c r="O75" s="269">
        <v>29</v>
      </c>
      <c r="P75" s="269">
        <v>34</v>
      </c>
      <c r="R75" s="398"/>
    </row>
    <row r="76" spans="1:18" s="46" customFormat="1" ht="16.5">
      <c r="A76" s="49"/>
      <c r="B76" s="50" t="s">
        <v>2</v>
      </c>
      <c r="C76" s="49"/>
      <c r="D76" s="49"/>
      <c r="E76" s="271">
        <f t="shared" ref="E76" si="114">E74-E75</f>
        <v>655</v>
      </c>
      <c r="F76" s="271">
        <f t="shared" ref="F76:G76" si="115">F74-F75</f>
        <v>156</v>
      </c>
      <c r="G76" s="271">
        <f t="shared" si="115"/>
        <v>118</v>
      </c>
      <c r="H76" s="271">
        <f t="shared" ref="H76" si="116">H74-H75</f>
        <v>87</v>
      </c>
      <c r="I76" s="271">
        <f t="shared" ref="I76:N76" si="117">I74-I75</f>
        <v>725</v>
      </c>
      <c r="J76" s="271">
        <f t="shared" si="117"/>
        <v>67</v>
      </c>
      <c r="K76" s="271">
        <f t="shared" si="117"/>
        <v>224</v>
      </c>
      <c r="L76" s="271">
        <f t="shared" si="117"/>
        <v>168</v>
      </c>
      <c r="M76" s="271">
        <f t="shared" si="117"/>
        <v>891</v>
      </c>
      <c r="N76" s="271">
        <f t="shared" si="117"/>
        <v>199</v>
      </c>
      <c r="O76" s="271">
        <f t="shared" ref="O76:P76" si="118">O74-O75</f>
        <v>90</v>
      </c>
      <c r="P76" s="271">
        <f t="shared" si="118"/>
        <v>90</v>
      </c>
    </row>
    <row r="77" spans="1:18" ht="24.75" customHeight="1">
      <c r="A77" s="10"/>
      <c r="B77" s="431" t="s">
        <v>247</v>
      </c>
      <c r="C77" s="431"/>
      <c r="D77" s="431"/>
      <c r="E77" s="391">
        <v>646</v>
      </c>
      <c r="F77" s="391">
        <v>154</v>
      </c>
      <c r="G77" s="391">
        <v>117</v>
      </c>
      <c r="H77" s="391">
        <v>86</v>
      </c>
      <c r="I77" s="391">
        <v>714</v>
      </c>
      <c r="J77" s="391">
        <v>65</v>
      </c>
      <c r="K77" s="391">
        <v>220</v>
      </c>
      <c r="L77" s="391">
        <v>164</v>
      </c>
      <c r="M77" s="391">
        <v>873</v>
      </c>
      <c r="N77" s="391">
        <v>194</v>
      </c>
      <c r="O77" s="391">
        <v>88</v>
      </c>
      <c r="P77" s="391">
        <v>88</v>
      </c>
      <c r="Q77" s="392"/>
      <c r="R77" s="392"/>
    </row>
    <row r="78" spans="1:18" ht="20.25" customHeight="1">
      <c r="A78" s="9"/>
      <c r="B78" s="25"/>
      <c r="C78" s="9"/>
      <c r="D78" s="9"/>
      <c r="E78" s="271"/>
      <c r="F78" s="271"/>
      <c r="G78" s="271"/>
      <c r="H78" s="353"/>
      <c r="I78" s="353"/>
      <c r="J78" s="353"/>
      <c r="K78" s="353"/>
      <c r="L78" s="353"/>
      <c r="M78" s="353"/>
      <c r="N78" s="353"/>
      <c r="O78" s="353"/>
      <c r="P78" s="353"/>
    </row>
    <row r="79" spans="1:18">
      <c r="A79" s="32"/>
      <c r="B79" s="29" t="s">
        <v>139</v>
      </c>
      <c r="C79" s="29"/>
      <c r="D79" s="29"/>
      <c r="E79" s="272"/>
      <c r="F79" s="272"/>
      <c r="G79" s="272"/>
      <c r="H79" s="272"/>
      <c r="I79" s="272"/>
      <c r="J79" s="272"/>
      <c r="K79" s="272"/>
      <c r="L79" s="272"/>
      <c r="M79" s="272"/>
      <c r="N79" s="272"/>
      <c r="O79" s="272"/>
      <c r="P79" s="272"/>
    </row>
    <row r="80" spans="1:18">
      <c r="A80" s="32"/>
      <c r="B80" s="29"/>
      <c r="C80" s="28" t="s">
        <v>32</v>
      </c>
      <c r="D80" s="29"/>
      <c r="E80" s="273">
        <v>0.54</v>
      </c>
      <c r="F80" s="273">
        <v>0.13</v>
      </c>
      <c r="G80" s="274">
        <v>0.1</v>
      </c>
      <c r="H80" s="274">
        <v>7.0000000000000007E-2</v>
      </c>
      <c r="I80" s="274">
        <v>0.63</v>
      </c>
      <c r="J80" s="274">
        <v>0.06</v>
      </c>
      <c r="K80" s="274">
        <v>0.2</v>
      </c>
      <c r="L80" s="274">
        <v>0.15</v>
      </c>
      <c r="M80" s="274">
        <v>0.78</v>
      </c>
      <c r="N80" s="274">
        <v>0.17</v>
      </c>
      <c r="O80" s="274">
        <v>0.08</v>
      </c>
      <c r="P80" s="274">
        <v>0.08</v>
      </c>
      <c r="Q80" s="337"/>
    </row>
    <row r="81" spans="1:17">
      <c r="A81" s="32"/>
      <c r="B81" s="29"/>
      <c r="C81" s="28" t="s">
        <v>33</v>
      </c>
      <c r="D81" s="29"/>
      <c r="E81" s="273">
        <v>0.53</v>
      </c>
      <c r="F81" s="273">
        <v>0.13</v>
      </c>
      <c r="G81" s="274">
        <v>0.1</v>
      </c>
      <c r="H81" s="274">
        <v>7.0000000000000007E-2</v>
      </c>
      <c r="I81" s="274">
        <v>0.62</v>
      </c>
      <c r="J81" s="274">
        <v>0.06</v>
      </c>
      <c r="K81" s="274">
        <v>0.2</v>
      </c>
      <c r="L81" s="274">
        <v>0.15</v>
      </c>
      <c r="M81" s="274">
        <v>0.78</v>
      </c>
      <c r="N81" s="274">
        <v>0.17</v>
      </c>
      <c r="O81" s="274">
        <v>0.08</v>
      </c>
      <c r="P81" s="274">
        <v>0.08</v>
      </c>
      <c r="Q81" s="337"/>
    </row>
    <row r="82" spans="1:17">
      <c r="A82" s="32"/>
      <c r="B82" s="29"/>
      <c r="C82" s="18"/>
      <c r="D82" s="29"/>
      <c r="E82" s="278"/>
      <c r="F82" s="278"/>
      <c r="G82" s="274"/>
      <c r="H82" s="274"/>
      <c r="I82" s="274"/>
      <c r="J82" s="274"/>
      <c r="K82" s="274"/>
      <c r="L82" s="274"/>
      <c r="M82" s="274"/>
      <c r="N82" s="274"/>
      <c r="O82" s="274"/>
      <c r="P82" s="274"/>
    </row>
    <row r="83" spans="1:17">
      <c r="A83" s="20" t="s">
        <v>295</v>
      </c>
      <c r="B83" s="29"/>
      <c r="C83" s="18"/>
      <c r="D83" s="29"/>
      <c r="E83" s="278"/>
      <c r="F83" s="278"/>
      <c r="G83" s="279"/>
      <c r="H83" s="279"/>
      <c r="I83" s="279"/>
      <c r="J83" s="279"/>
      <c r="K83" s="279"/>
      <c r="L83" s="279"/>
      <c r="M83" s="279"/>
      <c r="N83" s="279"/>
      <c r="O83" s="279"/>
      <c r="P83" s="279"/>
    </row>
    <row r="84" spans="1:17">
      <c r="A84" s="32"/>
      <c r="B84" s="29"/>
      <c r="C84" s="18"/>
      <c r="D84" s="29"/>
      <c r="E84" s="264" t="str">
        <f t="shared" ref="E84:G84" si="119">E59</f>
        <v>Q4</v>
      </c>
      <c r="F84" s="264" t="str">
        <f t="shared" si="119"/>
        <v>Q1</v>
      </c>
      <c r="G84" s="264" t="str">
        <f t="shared" si="119"/>
        <v>Q2</v>
      </c>
      <c r="H84" s="264" t="str">
        <f t="shared" ref="H84:I84" si="120">H59</f>
        <v>Q3</v>
      </c>
      <c r="I84" s="264" t="str">
        <f t="shared" si="120"/>
        <v>Q4</v>
      </c>
      <c r="J84" s="264" t="str">
        <f t="shared" ref="J84:K84" si="121">J59</f>
        <v>Q1</v>
      </c>
      <c r="K84" s="264" t="str">
        <f t="shared" si="121"/>
        <v>Q2</v>
      </c>
      <c r="L84" s="264" t="str">
        <f t="shared" ref="L84:M84" si="122">L59</f>
        <v>Q3</v>
      </c>
      <c r="M84" s="264" t="str">
        <f t="shared" si="122"/>
        <v>Q4</v>
      </c>
      <c r="N84" s="264" t="str">
        <f t="shared" ref="N84:O84" si="123">N59</f>
        <v>Q1</v>
      </c>
      <c r="O84" s="264" t="str">
        <f t="shared" si="123"/>
        <v>Q2</v>
      </c>
      <c r="P84" s="264" t="str">
        <f t="shared" ref="P84" si="124">P59</f>
        <v>Q3</v>
      </c>
    </row>
    <row r="85" spans="1:17">
      <c r="A85" s="32"/>
      <c r="B85" s="29"/>
      <c r="C85" s="18"/>
      <c r="D85" s="29"/>
      <c r="E85" s="265" t="str">
        <f t="shared" ref="E85:G85" si="125">E60</f>
        <v>CY10</v>
      </c>
      <c r="F85" s="265" t="str">
        <f t="shared" si="125"/>
        <v>CY11</v>
      </c>
      <c r="G85" s="265" t="str">
        <f t="shared" si="125"/>
        <v>CY11</v>
      </c>
      <c r="H85" s="265" t="str">
        <f t="shared" ref="H85:I85" si="126">H60</f>
        <v>CY11</v>
      </c>
      <c r="I85" s="265" t="str">
        <f t="shared" si="126"/>
        <v>CY11</v>
      </c>
      <c r="J85" s="265" t="str">
        <f t="shared" ref="J85:K85" si="127">J60</f>
        <v>CY12</v>
      </c>
      <c r="K85" s="265" t="str">
        <f t="shared" si="127"/>
        <v>CY12</v>
      </c>
      <c r="L85" s="265" t="str">
        <f t="shared" ref="L85:M85" si="128">L60</f>
        <v>CY12</v>
      </c>
      <c r="M85" s="265" t="str">
        <f t="shared" si="128"/>
        <v>CY12</v>
      </c>
      <c r="N85" s="265" t="str">
        <f t="shared" ref="N85:O85" si="129">N60</f>
        <v>CY13</v>
      </c>
      <c r="O85" s="265" t="str">
        <f t="shared" si="129"/>
        <v>CY13</v>
      </c>
      <c r="P85" s="265" t="str">
        <f t="shared" ref="P85" si="130">P60</f>
        <v>CY13</v>
      </c>
    </row>
    <row r="86" spans="1:17" ht="7.5" customHeight="1">
      <c r="A86" s="32"/>
      <c r="B86" s="29"/>
      <c r="C86" s="18"/>
      <c r="D86" s="29"/>
      <c r="E86" s="278"/>
      <c r="F86" s="278"/>
      <c r="G86" s="280"/>
      <c r="H86" s="280"/>
      <c r="I86" s="280"/>
      <c r="J86" s="280"/>
      <c r="K86" s="280"/>
      <c r="L86" s="280"/>
      <c r="M86" s="280"/>
      <c r="N86" s="280"/>
      <c r="O86" s="280"/>
      <c r="P86" s="280"/>
    </row>
    <row r="87" spans="1:17" ht="15.75" customHeight="1">
      <c r="A87" s="32"/>
      <c r="B87" s="1" t="s">
        <v>185</v>
      </c>
      <c r="C87" s="18"/>
      <c r="D87" s="29"/>
      <c r="E87" s="278"/>
      <c r="F87" s="278"/>
      <c r="G87" s="280"/>
      <c r="H87" s="280"/>
      <c r="I87" s="280"/>
      <c r="J87" s="280"/>
      <c r="K87" s="280"/>
      <c r="L87" s="280"/>
      <c r="M87" s="280"/>
      <c r="N87" s="280"/>
      <c r="O87" s="280"/>
      <c r="P87" s="280"/>
    </row>
    <row r="88" spans="1:17">
      <c r="A88" s="7"/>
      <c r="B88" s="2"/>
      <c r="C88" s="2" t="s">
        <v>196</v>
      </c>
      <c r="D88" s="7"/>
      <c r="E88" s="281">
        <f t="shared" ref="E88:F88" si="131">E64/E$62</f>
        <v>0.30729984301412872</v>
      </c>
      <c r="F88" s="281">
        <f t="shared" si="131"/>
        <v>0.22119205298013245</v>
      </c>
      <c r="G88" s="281">
        <f t="shared" ref="G88:G92" si="132">G64/G$62</f>
        <v>0.19313304721030042</v>
      </c>
      <c r="H88" s="281">
        <f t="shared" ref="H88:I100" si="133">H64/H$62</f>
        <v>0.20414673046251994</v>
      </c>
      <c r="I88" s="281">
        <f t="shared" si="133"/>
        <v>0.28654485049833889</v>
      </c>
      <c r="J88" s="281">
        <f t="shared" ref="J88:K100" si="134">J64/J$62</f>
        <v>0.23509369676320271</v>
      </c>
      <c r="K88" s="281">
        <f t="shared" si="134"/>
        <v>0.15939278937381404</v>
      </c>
      <c r="L88" s="281">
        <f t="shared" ref="L88:M100" si="135">L64/L$62</f>
        <v>0.1877496671105193</v>
      </c>
      <c r="M88" s="281">
        <f t="shared" si="135"/>
        <v>0.25780346820809247</v>
      </c>
      <c r="N88" s="281">
        <f>N64/N$62</f>
        <v>0.18034825870646767</v>
      </c>
      <c r="O88" s="281">
        <f>O64/O$62</f>
        <v>0.16776315789473684</v>
      </c>
      <c r="P88" s="281">
        <f>P64/P$62</f>
        <v>0.17047184170471841</v>
      </c>
    </row>
    <row r="89" spans="1:17">
      <c r="A89" s="7"/>
      <c r="B89" s="2"/>
      <c r="C89" s="2" t="s">
        <v>213</v>
      </c>
      <c r="D89" s="7"/>
      <c r="E89" s="281">
        <f t="shared" ref="E89:F89" si="136">E65/E$62</f>
        <v>2.9827315541601257E-2</v>
      </c>
      <c r="F89" s="281">
        <f t="shared" si="136"/>
        <v>8.7417218543046363E-2</v>
      </c>
      <c r="G89" s="281">
        <f t="shared" si="132"/>
        <v>8.869814020028613E-2</v>
      </c>
      <c r="H89" s="281">
        <f t="shared" si="133"/>
        <v>0.10047846889952153</v>
      </c>
      <c r="I89" s="281">
        <f t="shared" si="133"/>
        <v>2.6993355481727575E-2</v>
      </c>
      <c r="J89" s="281">
        <f t="shared" si="134"/>
        <v>0.11754684838160136</v>
      </c>
      <c r="K89" s="281">
        <f t="shared" si="134"/>
        <v>6.7362428842504748E-2</v>
      </c>
      <c r="L89" s="281">
        <f t="shared" si="135"/>
        <v>8.2556591211717711E-2</v>
      </c>
      <c r="M89" s="281">
        <f t="shared" si="135"/>
        <v>2.3121387283236993E-2</v>
      </c>
      <c r="N89" s="281">
        <f t="shared" ref="N89" si="137">N65/N$62</f>
        <v>7.0895522388059698E-2</v>
      </c>
      <c r="O89" s="281">
        <f>O65/O$62</f>
        <v>8.8815789473684209E-2</v>
      </c>
      <c r="P89" s="281">
        <f>P65/P$62</f>
        <v>6.5449010654490103E-2</v>
      </c>
    </row>
    <row r="90" spans="1:17">
      <c r="A90" s="7"/>
      <c r="B90" s="2"/>
      <c r="C90" s="2" t="s">
        <v>194</v>
      </c>
      <c r="D90" s="7"/>
      <c r="E90" s="281">
        <f t="shared" ref="E90:F90" si="138">E66/E$62</f>
        <v>6.0047095761381473E-2</v>
      </c>
      <c r="F90" s="281">
        <f t="shared" si="138"/>
        <v>1.9867549668874173E-2</v>
      </c>
      <c r="G90" s="281">
        <f t="shared" si="132"/>
        <v>1.7167381974248927E-2</v>
      </c>
      <c r="H90" s="281">
        <f t="shared" si="133"/>
        <v>2.2328548644338118E-2</v>
      </c>
      <c r="I90" s="281">
        <f t="shared" si="133"/>
        <v>4.9418604651162788E-2</v>
      </c>
      <c r="J90" s="281">
        <f t="shared" si="134"/>
        <v>1.7035775127768313E-2</v>
      </c>
      <c r="K90" s="281">
        <f t="shared" si="134"/>
        <v>5.1233396584440226E-2</v>
      </c>
      <c r="L90" s="281">
        <f t="shared" si="135"/>
        <v>5.459387483355526E-2</v>
      </c>
      <c r="M90" s="281">
        <f t="shared" si="135"/>
        <v>4.4315992292870907E-2</v>
      </c>
      <c r="N90" s="281">
        <f t="shared" ref="N90:O90" si="139">N66/N$62</f>
        <v>2.8606965174129355E-2</v>
      </c>
      <c r="O90" s="281">
        <f t="shared" si="139"/>
        <v>1.4802631578947368E-2</v>
      </c>
      <c r="P90" s="281">
        <f t="shared" ref="P90" si="140">P66/P$62</f>
        <v>1.8264840182648401E-2</v>
      </c>
    </row>
    <row r="91" spans="1:17">
      <c r="A91" s="7"/>
      <c r="B91" s="2"/>
      <c r="C91" s="2" t="s">
        <v>195</v>
      </c>
      <c r="D91" s="7"/>
      <c r="E91" s="281">
        <f t="shared" ref="E91:F91" si="141">E67/E$62</f>
        <v>1.5698587127158554E-2</v>
      </c>
      <c r="F91" s="281">
        <f t="shared" si="141"/>
        <v>9.2715231788079479E-3</v>
      </c>
      <c r="G91" s="281">
        <f t="shared" si="132"/>
        <v>1.7167381974248927E-2</v>
      </c>
      <c r="H91" s="281">
        <f t="shared" si="133"/>
        <v>1.1164274322169059E-2</v>
      </c>
      <c r="I91" s="281">
        <f t="shared" si="133"/>
        <v>1.8687707641196014E-2</v>
      </c>
      <c r="J91" s="281">
        <f t="shared" si="134"/>
        <v>5.1107325383304937E-3</v>
      </c>
      <c r="K91" s="281">
        <f t="shared" si="134"/>
        <v>1.7077798861480076E-2</v>
      </c>
      <c r="L91" s="281">
        <f t="shared" si="135"/>
        <v>1.1984021304926764E-2</v>
      </c>
      <c r="M91" s="281">
        <f t="shared" si="135"/>
        <v>1.233140655105973E-2</v>
      </c>
      <c r="N91" s="281">
        <f t="shared" ref="N91:O91" si="142">N67/N$62</f>
        <v>3.9800995024875621E-2</v>
      </c>
      <c r="O91" s="281">
        <f t="shared" si="142"/>
        <v>1.6447368421052631E-2</v>
      </c>
      <c r="P91" s="281">
        <f t="shared" ref="P91" si="143">P67/P$62</f>
        <v>3.0441400304414001E-3</v>
      </c>
    </row>
    <row r="92" spans="1:17">
      <c r="A92" s="10"/>
      <c r="B92" s="10"/>
      <c r="C92" s="6" t="s">
        <v>42</v>
      </c>
      <c r="D92" s="10"/>
      <c r="E92" s="281">
        <f t="shared" ref="E92:F92" si="144">E68/E$62</f>
        <v>0.10282574568288853</v>
      </c>
      <c r="F92" s="281">
        <f t="shared" si="144"/>
        <v>0.176158940397351</v>
      </c>
      <c r="G92" s="281">
        <f t="shared" si="132"/>
        <v>0.15450643776824036</v>
      </c>
      <c r="H92" s="281">
        <f t="shared" si="133"/>
        <v>0.19776714513556617</v>
      </c>
      <c r="I92" s="281">
        <f t="shared" si="133"/>
        <v>9.3023255813953487E-2</v>
      </c>
      <c r="J92" s="281">
        <f t="shared" si="134"/>
        <v>0.18739352640545145</v>
      </c>
      <c r="K92" s="281">
        <f t="shared" si="134"/>
        <v>0.13282732447817835</v>
      </c>
      <c r="L92" s="281">
        <f t="shared" si="135"/>
        <v>0.15978695073235685</v>
      </c>
      <c r="M92" s="281">
        <f t="shared" si="135"/>
        <v>8.3236994219653179E-2</v>
      </c>
      <c r="N92" s="281">
        <f>N68/N$62</f>
        <v>0.14676616915422885</v>
      </c>
      <c r="O92" s="281">
        <f>O68/O$62</f>
        <v>0.19078947368421054</v>
      </c>
      <c r="P92" s="281">
        <f>P68/P$62</f>
        <v>0.19939117199391171</v>
      </c>
    </row>
    <row r="93" spans="1:17">
      <c r="A93" s="10"/>
      <c r="B93" s="10"/>
      <c r="C93" s="6" t="s">
        <v>43</v>
      </c>
      <c r="D93" s="10"/>
      <c r="E93" s="281">
        <f t="shared" ref="E93:F93" si="145">E69/E$62</f>
        <v>8.7519623233908952E-2</v>
      </c>
      <c r="F93" s="281">
        <f t="shared" si="145"/>
        <v>7.8145695364238404E-2</v>
      </c>
      <c r="G93" s="281">
        <f t="shared" ref="G93" si="146">G69/G$62</f>
        <v>0.13161659513590845</v>
      </c>
      <c r="H93" s="281">
        <f t="shared" si="133"/>
        <v>0.18022328548644337</v>
      </c>
      <c r="I93" s="281">
        <f t="shared" si="133"/>
        <v>0.11586378737541528</v>
      </c>
      <c r="J93" s="281">
        <f t="shared" si="134"/>
        <v>0.131175468483816</v>
      </c>
      <c r="K93" s="281">
        <f t="shared" si="134"/>
        <v>0.12808349146110057</v>
      </c>
      <c r="L93" s="281">
        <f t="shared" si="135"/>
        <v>0.17177097203728361</v>
      </c>
      <c r="M93" s="281">
        <f t="shared" si="135"/>
        <v>8.8631984585741813E-2</v>
      </c>
      <c r="N93" s="281">
        <f t="shared" ref="N93:O93" si="147">N69/N$62</f>
        <v>0.13059701492537312</v>
      </c>
      <c r="O93" s="281">
        <f t="shared" si="147"/>
        <v>0.1875</v>
      </c>
      <c r="P93" s="281">
        <f t="shared" ref="P93" si="148">P69/P$62</f>
        <v>0.21613394216133941</v>
      </c>
    </row>
    <row r="94" spans="1:17" ht="16.5">
      <c r="A94" s="10"/>
      <c r="B94" s="10"/>
      <c r="C94" s="6" t="s">
        <v>44</v>
      </c>
      <c r="D94" s="10"/>
      <c r="E94" s="283">
        <f t="shared" ref="E94:F94" si="149">E70/E$62</f>
        <v>4.3171114599686027E-2</v>
      </c>
      <c r="F94" s="283">
        <f t="shared" si="149"/>
        <v>0.11920529801324503</v>
      </c>
      <c r="G94" s="283">
        <f t="shared" ref="G94" si="150">G70/G$62</f>
        <v>0.16165951359084407</v>
      </c>
      <c r="H94" s="283">
        <f t="shared" si="133"/>
        <v>0.14832535885167464</v>
      </c>
      <c r="I94" s="283">
        <f t="shared" si="133"/>
        <v>3.9867109634551492E-2</v>
      </c>
      <c r="J94" s="283">
        <f t="shared" si="134"/>
        <v>0.15332197614991483</v>
      </c>
      <c r="K94" s="283">
        <f t="shared" si="134"/>
        <v>0.15939278937381404</v>
      </c>
      <c r="L94" s="283">
        <f t="shared" si="135"/>
        <v>0.12649800266311584</v>
      </c>
      <c r="M94" s="283">
        <f t="shared" si="135"/>
        <v>4.5857418111753374E-2</v>
      </c>
      <c r="N94" s="283">
        <f t="shared" ref="N94:O94" si="151">N70/N$62</f>
        <v>9.5771144278606959E-2</v>
      </c>
      <c r="O94" s="283">
        <f t="shared" si="151"/>
        <v>0.13815789473684212</v>
      </c>
      <c r="P94" s="283">
        <f t="shared" ref="P94" si="152">P70/P$62</f>
        <v>0.13242009132420091</v>
      </c>
    </row>
    <row r="95" spans="1:17" ht="16.5">
      <c r="A95" s="10"/>
      <c r="B95" s="10"/>
      <c r="C95" s="10"/>
      <c r="D95" s="10" t="s">
        <v>184</v>
      </c>
      <c r="E95" s="283">
        <f t="shared" ref="E95:F95" si="153">E71/E$62</f>
        <v>0.64638932496075352</v>
      </c>
      <c r="F95" s="283">
        <f t="shared" si="153"/>
        <v>0.71125827814569531</v>
      </c>
      <c r="G95" s="283">
        <f t="shared" ref="G95" si="154">G71/G$62</f>
        <v>0.76394849785407726</v>
      </c>
      <c r="H95" s="283">
        <f t="shared" si="133"/>
        <v>0.86443381180223289</v>
      </c>
      <c r="I95" s="283">
        <f t="shared" si="133"/>
        <v>0.63039867109634551</v>
      </c>
      <c r="J95" s="283">
        <f t="shared" si="134"/>
        <v>0.84667802385008517</v>
      </c>
      <c r="K95" s="283">
        <f t="shared" si="134"/>
        <v>0.71537001897533203</v>
      </c>
      <c r="L95" s="283">
        <f t="shared" si="135"/>
        <v>0.79494007989347537</v>
      </c>
      <c r="M95" s="283">
        <f t="shared" si="135"/>
        <v>0.55529865125240851</v>
      </c>
      <c r="N95" s="283">
        <f t="shared" ref="N95:O95" si="155">N71/N$62</f>
        <v>0.69278606965174128</v>
      </c>
      <c r="O95" s="283">
        <f t="shared" si="155"/>
        <v>0.80427631578947367</v>
      </c>
      <c r="P95" s="283">
        <f t="shared" ref="P95" si="156">P71/P$62</f>
        <v>0.80517503805175039</v>
      </c>
    </row>
    <row r="96" spans="1:17">
      <c r="A96" s="11"/>
      <c r="B96" s="25" t="s">
        <v>1</v>
      </c>
      <c r="C96" s="3"/>
      <c r="D96" s="11"/>
      <c r="E96" s="284">
        <f t="shared" ref="E96:F96" si="157">E72/E$62</f>
        <v>0.35361067503924648</v>
      </c>
      <c r="F96" s="284">
        <f t="shared" si="157"/>
        <v>0.28874172185430463</v>
      </c>
      <c r="G96" s="284">
        <f>G72/G$62</f>
        <v>0.23605150214592274</v>
      </c>
      <c r="H96" s="284">
        <f t="shared" si="133"/>
        <v>0.13556618819776714</v>
      </c>
      <c r="I96" s="284">
        <f t="shared" si="133"/>
        <v>0.36960132890365449</v>
      </c>
      <c r="J96" s="284">
        <f t="shared" si="134"/>
        <v>0.15332197614991483</v>
      </c>
      <c r="K96" s="284">
        <f t="shared" si="134"/>
        <v>0.28462998102466791</v>
      </c>
      <c r="L96" s="284">
        <f t="shared" si="135"/>
        <v>0.20505992010652463</v>
      </c>
      <c r="M96" s="284">
        <f t="shared" si="135"/>
        <v>0.44470134874759154</v>
      </c>
      <c r="N96" s="284">
        <f t="shared" ref="N96:O96" si="158">N72/N$62</f>
        <v>0.30721393034825872</v>
      </c>
      <c r="O96" s="284">
        <f t="shared" si="158"/>
        <v>0.19572368421052633</v>
      </c>
      <c r="P96" s="423">
        <f t="shared" ref="P96" si="159">P72/P$62</f>
        <v>0.19482496194824961</v>
      </c>
    </row>
    <row r="97" spans="1:16" ht="16.5">
      <c r="A97" s="12"/>
      <c r="B97" s="2" t="s">
        <v>209</v>
      </c>
      <c r="C97" s="12"/>
      <c r="D97" s="12"/>
      <c r="E97" s="283">
        <f t="shared" ref="E97:F97" si="160">E73/E$62</f>
        <v>3.1397174254317113E-3</v>
      </c>
      <c r="F97" s="283">
        <f t="shared" si="160"/>
        <v>2.6490066225165563E-3</v>
      </c>
      <c r="G97" s="283">
        <f t="shared" ref="G97" si="161">G73/G$62</f>
        <v>2.8612303290414878E-3</v>
      </c>
      <c r="H97" s="283">
        <f t="shared" si="133"/>
        <v>4.7846889952153108E-3</v>
      </c>
      <c r="I97" s="283">
        <f t="shared" si="133"/>
        <v>-2.0764119601328905E-3</v>
      </c>
      <c r="J97" s="283">
        <f t="shared" si="134"/>
        <v>1.7035775127768314E-3</v>
      </c>
      <c r="K97" s="283">
        <f t="shared" si="134"/>
        <v>1.8975332068311196E-3</v>
      </c>
      <c r="L97" s="283">
        <f t="shared" si="135"/>
        <v>1.3315579227696406E-3</v>
      </c>
      <c r="M97" s="283">
        <f t="shared" si="135"/>
        <v>1.1560693641618498E-3</v>
      </c>
      <c r="N97" s="283">
        <f t="shared" ref="N97:O97" si="162">N73/N$62</f>
        <v>2.4875621890547263E-3</v>
      </c>
      <c r="O97" s="283">
        <f t="shared" si="162"/>
        <v>0</v>
      </c>
      <c r="P97" s="283">
        <f t="shared" ref="P97" si="163">P73/P$62</f>
        <v>-6.0882800608828003E-3</v>
      </c>
    </row>
    <row r="98" spans="1:16">
      <c r="A98" s="12"/>
      <c r="B98" s="22" t="s">
        <v>47</v>
      </c>
      <c r="C98" s="4"/>
      <c r="D98" s="12"/>
      <c r="E98" s="281">
        <f t="shared" ref="E98:F98" si="164">E74/E$62</f>
        <v>0.35675039246467816</v>
      </c>
      <c r="F98" s="281">
        <f t="shared" si="164"/>
        <v>0.29139072847682118</v>
      </c>
      <c r="G98" s="281">
        <f t="shared" ref="G98" si="165">G74/G$62</f>
        <v>0.23891273247496422</v>
      </c>
      <c r="H98" s="281">
        <f t="shared" si="133"/>
        <v>0.14035087719298245</v>
      </c>
      <c r="I98" s="281">
        <f t="shared" si="133"/>
        <v>0.36752491694352157</v>
      </c>
      <c r="J98" s="281">
        <f t="shared" si="134"/>
        <v>0.15502555366269166</v>
      </c>
      <c r="K98" s="281">
        <f t="shared" si="134"/>
        <v>0.28652751423149903</v>
      </c>
      <c r="L98" s="281">
        <f t="shared" si="135"/>
        <v>0.20639147802929428</v>
      </c>
      <c r="M98" s="281">
        <f t="shared" si="135"/>
        <v>0.44585741811175339</v>
      </c>
      <c r="N98" s="281">
        <f t="shared" ref="N98:O98" si="166">N74/N$62</f>
        <v>0.30970149253731344</v>
      </c>
      <c r="O98" s="281">
        <f t="shared" si="166"/>
        <v>0.19572368421052633</v>
      </c>
      <c r="P98" s="281">
        <f t="shared" ref="P98" si="167">P74/P$62</f>
        <v>0.18873668188736681</v>
      </c>
    </row>
    <row r="99" spans="1:16" ht="16.5">
      <c r="A99" s="12"/>
      <c r="B99" s="2" t="s">
        <v>48</v>
      </c>
      <c r="C99" s="4"/>
      <c r="D99" s="12"/>
      <c r="E99" s="283">
        <f t="shared" ref="E99:F99" si="168">E75/E$62</f>
        <v>9.968602825745683E-2</v>
      </c>
      <c r="F99" s="283">
        <f t="shared" si="168"/>
        <v>8.4768211920529801E-2</v>
      </c>
      <c r="G99" s="283">
        <f t="shared" ref="G99" si="169">G75/G$62</f>
        <v>7.0100143061516448E-2</v>
      </c>
      <c r="H99" s="283">
        <f t="shared" si="133"/>
        <v>1.594896331738437E-3</v>
      </c>
      <c r="I99" s="283">
        <f t="shared" si="133"/>
        <v>6.6445182724252497E-2</v>
      </c>
      <c r="J99" s="283">
        <f t="shared" si="134"/>
        <v>4.0885860306643949E-2</v>
      </c>
      <c r="K99" s="283">
        <f t="shared" si="134"/>
        <v>7.4003795066413663E-2</v>
      </c>
      <c r="L99" s="283">
        <f t="shared" si="135"/>
        <v>-1.7310252996005325E-2</v>
      </c>
      <c r="M99" s="283">
        <f t="shared" si="135"/>
        <v>0.102504816955684</v>
      </c>
      <c r="N99" s="283">
        <f t="shared" ref="N99:O99" si="170">N75/N$62</f>
        <v>6.2189054726368161E-2</v>
      </c>
      <c r="O99" s="283">
        <f t="shared" si="170"/>
        <v>4.7697368421052634E-2</v>
      </c>
      <c r="P99" s="283">
        <f t="shared" ref="P99" si="171">P75/P$62</f>
        <v>5.1750380517503802E-2</v>
      </c>
    </row>
    <row r="100" spans="1:16" ht="16.5">
      <c r="A100" s="12"/>
      <c r="B100" s="25" t="s">
        <v>2</v>
      </c>
      <c r="C100" s="4"/>
      <c r="D100" s="9"/>
      <c r="E100" s="37">
        <f t="shared" ref="E100:G100" si="172">E76/E$62</f>
        <v>0.25706436420722134</v>
      </c>
      <c r="F100" s="37">
        <f t="shared" si="172"/>
        <v>0.20662251655629138</v>
      </c>
      <c r="G100" s="37">
        <f t="shared" si="172"/>
        <v>0.16881258941344779</v>
      </c>
      <c r="H100" s="37">
        <f t="shared" si="133"/>
        <v>0.13875598086124402</v>
      </c>
      <c r="I100" s="37">
        <f>I76/I$62</f>
        <v>0.30107973421926909</v>
      </c>
      <c r="J100" s="37">
        <f t="shared" si="134"/>
        <v>0.11413969335604771</v>
      </c>
      <c r="K100" s="37">
        <f t="shared" si="134"/>
        <v>0.21252371916508539</v>
      </c>
      <c r="L100" s="37">
        <f t="shared" si="135"/>
        <v>0.22370173102529961</v>
      </c>
      <c r="M100" s="37">
        <f t="shared" si="135"/>
        <v>0.34335260115606936</v>
      </c>
      <c r="N100" s="37">
        <f t="shared" ref="N100:O100" si="173">N76/N$62</f>
        <v>0.24751243781094528</v>
      </c>
      <c r="O100" s="37">
        <f t="shared" si="173"/>
        <v>0.14802631578947367</v>
      </c>
      <c r="P100" s="37">
        <f t="shared" ref="P100" si="174">P76/P$62</f>
        <v>0.13698630136986301</v>
      </c>
    </row>
    <row r="101" spans="1:16" ht="16.5">
      <c r="A101" s="12"/>
      <c r="B101" s="25"/>
      <c r="C101" s="4"/>
      <c r="D101" s="9"/>
      <c r="E101" s="37"/>
      <c r="F101" s="37"/>
      <c r="G101" s="37"/>
    </row>
    <row r="103" spans="1:16" ht="16.5">
      <c r="A103" s="9"/>
      <c r="B103" s="25"/>
      <c r="C103" s="9"/>
      <c r="D103" s="9"/>
      <c r="E103" s="285"/>
      <c r="F103" s="285"/>
      <c r="G103" s="285"/>
    </row>
  </sheetData>
  <mergeCells count="5">
    <mergeCell ref="A1:Q1"/>
    <mergeCell ref="A2:Q2"/>
    <mergeCell ref="A3:Q3"/>
    <mergeCell ref="B26:D26"/>
    <mergeCell ref="B77:D77"/>
  </mergeCells>
  <conditionalFormatting sqref="B59 C58:C59">
    <cfRule type="cellIs" dxfId="1" priority="1" stopIfTrue="1" operator="equal">
      <formula>"tie to PF Core IS"</formula>
    </cfRule>
  </conditionalFormatting>
  <pageMargins left="0.7" right="0.7" top="0.25" bottom="0.44" header="0.3" footer="0.3"/>
  <pageSetup scale="64" fitToHeight="2" orientation="landscape" r:id="rId1"/>
  <headerFooter>
    <oddFooter>&amp;LActivision Blizzard, Inc.&amp;R&amp;P of &amp; 18</oddFooter>
  </headerFooter>
  <rowBreaks count="1" manualBreakCount="1">
    <brk id="5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view="pageBreakPreview" zoomScaleNormal="100" zoomScaleSheetLayoutView="100" workbookViewId="0">
      <pane xSplit="4" ySplit="8" topLeftCell="E9" activePane="bottomRight" state="frozen"/>
      <selection pane="topRight"/>
      <selection pane="bottomLeft"/>
      <selection pane="bottomRight" activeCell="E9" sqref="E9"/>
    </sheetView>
  </sheetViews>
  <sheetFormatPr defaultColWidth="8.85546875" defaultRowHeight="15"/>
  <cols>
    <col min="1" max="3" width="2.7109375" style="5" customWidth="1"/>
    <col min="4" max="4" width="40.28515625" style="5" customWidth="1"/>
    <col min="5" max="6" width="10.5703125" style="43" bestFit="1" customWidth="1"/>
    <col min="7" max="16" width="10" style="39" customWidth="1"/>
    <col min="17" max="17" width="1.42578125" style="27" customWidth="1"/>
    <col min="18" max="16384" width="8.85546875" style="27"/>
  </cols>
  <sheetData>
    <row r="1" spans="1:22" s="31" customFormat="1" ht="15" customHeight="1" collapsed="1">
      <c r="A1" s="430" t="s">
        <v>39</v>
      </c>
      <c r="B1" s="430"/>
      <c r="C1" s="430"/>
      <c r="D1" s="430"/>
      <c r="E1" s="430"/>
      <c r="F1" s="430"/>
      <c r="G1" s="430"/>
      <c r="H1" s="430"/>
      <c r="I1" s="430"/>
      <c r="J1" s="430"/>
      <c r="K1" s="430"/>
      <c r="L1" s="430"/>
      <c r="M1" s="430"/>
      <c r="N1" s="430"/>
      <c r="O1" s="430"/>
      <c r="P1" s="430"/>
      <c r="Q1" s="430"/>
    </row>
    <row r="2" spans="1:22" s="31" customFormat="1" ht="15" customHeight="1">
      <c r="A2" s="430" t="s">
        <v>203</v>
      </c>
      <c r="B2" s="430"/>
      <c r="C2" s="430"/>
      <c r="D2" s="430"/>
      <c r="E2" s="430"/>
      <c r="F2" s="430"/>
      <c r="G2" s="430"/>
      <c r="H2" s="430"/>
      <c r="I2" s="430"/>
      <c r="J2" s="430"/>
      <c r="K2" s="430"/>
      <c r="L2" s="430"/>
      <c r="M2" s="430"/>
      <c r="N2" s="430"/>
      <c r="O2" s="430"/>
      <c r="P2" s="430"/>
      <c r="Q2" s="430"/>
    </row>
    <row r="3" spans="1:22" s="31" customFormat="1" ht="15" customHeight="1">
      <c r="A3" s="430" t="s">
        <v>24</v>
      </c>
      <c r="B3" s="430"/>
      <c r="C3" s="430"/>
      <c r="D3" s="430"/>
      <c r="E3" s="430"/>
      <c r="F3" s="430"/>
      <c r="G3" s="430"/>
      <c r="H3" s="430"/>
      <c r="I3" s="430"/>
      <c r="J3" s="430"/>
      <c r="K3" s="430"/>
      <c r="L3" s="430"/>
      <c r="M3" s="430"/>
      <c r="N3" s="430"/>
      <c r="O3" s="430"/>
      <c r="P3" s="430"/>
      <c r="Q3" s="430"/>
      <c r="R3" s="30"/>
      <c r="V3" s="30"/>
    </row>
    <row r="4" spans="1:22" s="53" customFormat="1" ht="5.25" customHeight="1">
      <c r="A4" s="51"/>
      <c r="B4" s="52"/>
      <c r="C4" s="52"/>
      <c r="D4" s="52"/>
      <c r="E4" s="338"/>
      <c r="F4" s="338"/>
      <c r="G4" s="338"/>
      <c r="H4" s="52"/>
      <c r="I4" s="52"/>
      <c r="J4" s="52"/>
      <c r="K4" s="52"/>
      <c r="L4" s="52"/>
      <c r="M4" s="52"/>
      <c r="N4" s="52"/>
      <c r="O4" s="52"/>
      <c r="P4" s="52"/>
      <c r="R4" s="313"/>
      <c r="V4" s="313"/>
    </row>
    <row r="5" spans="1:22">
      <c r="A5" s="20" t="s">
        <v>138</v>
      </c>
    </row>
    <row r="6" spans="1:22" s="262" customFormat="1">
      <c r="A6" s="348"/>
      <c r="B6" s="348"/>
      <c r="C6" s="348"/>
      <c r="D6" s="348"/>
      <c r="E6" s="264" t="s">
        <v>6</v>
      </c>
      <c r="F6" s="264" t="s">
        <v>3</v>
      </c>
      <c r="G6" s="264" t="s">
        <v>4</v>
      </c>
      <c r="H6" s="264" t="s">
        <v>5</v>
      </c>
      <c r="I6" s="264" t="s">
        <v>6</v>
      </c>
      <c r="J6" s="264" t="s">
        <v>3</v>
      </c>
      <c r="K6" s="264" t="s">
        <v>4</v>
      </c>
      <c r="L6" s="264" t="s">
        <v>5</v>
      </c>
      <c r="M6" s="264" t="s">
        <v>6</v>
      </c>
      <c r="N6" s="264" t="s">
        <v>3</v>
      </c>
      <c r="O6" s="264" t="s">
        <v>4</v>
      </c>
      <c r="P6" s="264" t="s">
        <v>5</v>
      </c>
    </row>
    <row r="7" spans="1:22" s="262" customFormat="1">
      <c r="A7" s="347"/>
      <c r="B7" s="347"/>
      <c r="C7" s="347"/>
      <c r="D7" s="347"/>
      <c r="E7" s="264" t="s">
        <v>40</v>
      </c>
      <c r="F7" s="264" t="s">
        <v>41</v>
      </c>
      <c r="G7" s="264" t="s">
        <v>41</v>
      </c>
      <c r="H7" s="264" t="s">
        <v>41</v>
      </c>
      <c r="I7" s="264" t="s">
        <v>41</v>
      </c>
      <c r="J7" s="264" t="s">
        <v>220</v>
      </c>
      <c r="K7" s="264" t="s">
        <v>220</v>
      </c>
      <c r="L7" s="264" t="s">
        <v>220</v>
      </c>
      <c r="M7" s="264" t="s">
        <v>220</v>
      </c>
      <c r="N7" s="264" t="s">
        <v>248</v>
      </c>
      <c r="O7" s="264" t="s">
        <v>248</v>
      </c>
      <c r="P7" s="264" t="s">
        <v>248</v>
      </c>
    </row>
    <row r="8" spans="1:22" s="262" customFormat="1">
      <c r="E8" s="385" t="s">
        <v>198</v>
      </c>
      <c r="F8" s="385" t="s">
        <v>198</v>
      </c>
      <c r="G8" s="385" t="s">
        <v>198</v>
      </c>
      <c r="H8" s="385" t="s">
        <v>198</v>
      </c>
      <c r="I8" s="385" t="s">
        <v>198</v>
      </c>
      <c r="J8" s="385" t="s">
        <v>198</v>
      </c>
      <c r="K8" s="385" t="s">
        <v>198</v>
      </c>
      <c r="L8" s="385" t="s">
        <v>198</v>
      </c>
      <c r="M8" s="385" t="s">
        <v>198</v>
      </c>
      <c r="N8" s="385" t="s">
        <v>198</v>
      </c>
      <c r="O8" s="385" t="s">
        <v>198</v>
      </c>
      <c r="P8" s="385" t="s">
        <v>198</v>
      </c>
      <c r="Q8" s="386"/>
    </row>
    <row r="9" spans="1:22" ht="5.25" customHeight="1">
      <c r="A9" s="6"/>
      <c r="B9" s="6"/>
      <c r="C9" s="6"/>
      <c r="D9" s="6"/>
      <c r="E9" s="356"/>
      <c r="F9" s="356"/>
      <c r="G9" s="357"/>
      <c r="H9" s="357"/>
      <c r="I9" s="357"/>
      <c r="J9" s="357"/>
      <c r="K9" s="357"/>
      <c r="L9" s="357"/>
      <c r="M9" s="357"/>
      <c r="N9" s="357"/>
      <c r="O9" s="357"/>
      <c r="P9" s="357"/>
    </row>
    <row r="10" spans="1:22">
      <c r="A10" s="8"/>
      <c r="B10" s="1" t="s">
        <v>186</v>
      </c>
      <c r="C10" s="9"/>
      <c r="D10" s="8"/>
      <c r="E10" s="13">
        <v>4447</v>
      </c>
      <c r="F10" s="13">
        <v>4588</v>
      </c>
      <c r="G10" s="13">
        <v>4767</v>
      </c>
      <c r="H10" s="13">
        <v>4776</v>
      </c>
      <c r="I10" s="13">
        <v>4755</v>
      </c>
      <c r="J10" s="13">
        <f>SUM('QTD P&amp;L'!G9:J9)</f>
        <v>4479</v>
      </c>
      <c r="K10" s="13">
        <f>SUM('QTD P&amp;L'!H9:K9)</f>
        <v>4408</v>
      </c>
      <c r="L10" s="13">
        <f>SUM('QTD P&amp;L'!I9:L9)</f>
        <v>4495</v>
      </c>
      <c r="M10" s="13">
        <v>4856</v>
      </c>
      <c r="N10" s="13">
        <f>SUM('QTD P&amp;L'!K9:N9)</f>
        <v>5008</v>
      </c>
      <c r="O10" s="13">
        <f>SUM('QTD P&amp;L'!L9:O9)</f>
        <v>4983</v>
      </c>
      <c r="P10" s="13">
        <f>SUM('QTD P&amp;L'!M9:P9)</f>
        <v>4833</v>
      </c>
    </row>
    <row r="11" spans="1:22">
      <c r="A11" s="8"/>
      <c r="B11" s="1" t="s">
        <v>185</v>
      </c>
      <c r="C11" s="9"/>
      <c r="D11" s="8"/>
      <c r="E11" s="339"/>
      <c r="F11" s="339"/>
      <c r="G11" s="339"/>
      <c r="H11" s="13"/>
      <c r="I11" s="13"/>
      <c r="J11" s="13"/>
      <c r="K11" s="13"/>
      <c r="L11" s="13"/>
      <c r="M11" s="13"/>
      <c r="N11" s="13"/>
      <c r="O11" s="13"/>
      <c r="P11" s="13"/>
    </row>
    <row r="12" spans="1:22" s="43" customFormat="1">
      <c r="A12" s="10"/>
      <c r="B12" s="2"/>
      <c r="C12" s="2" t="s">
        <v>196</v>
      </c>
      <c r="D12" s="10"/>
      <c r="E12" s="42">
        <v>1350</v>
      </c>
      <c r="F12" s="42">
        <v>1313</v>
      </c>
      <c r="G12" s="42">
        <v>1291</v>
      </c>
      <c r="H12" s="42">
        <v>1235</v>
      </c>
      <c r="I12" s="42">
        <v>1134</v>
      </c>
      <c r="J12" s="42">
        <f>SUM('QTD P&amp;L'!G11:J11)</f>
        <v>1091</v>
      </c>
      <c r="K12" s="42">
        <f>SUM('QTD P&amp;L'!H11:K11)</f>
        <v>1107</v>
      </c>
      <c r="L12" s="42">
        <f>SUM('QTD P&amp;L'!I11:L11)</f>
        <v>1115</v>
      </c>
      <c r="M12" s="42">
        <v>1116</v>
      </c>
      <c r="N12" s="42">
        <f>SUM('QTD P&amp;L'!K11:N11)</f>
        <v>1118</v>
      </c>
      <c r="O12" s="42">
        <f>SUM('QTD P&amp;L'!L11:O11)</f>
        <v>1068</v>
      </c>
      <c r="P12" s="42">
        <f>SUM('QTD P&amp;L'!M11:P11)</f>
        <v>1033</v>
      </c>
    </row>
    <row r="13" spans="1:22" s="43" customFormat="1">
      <c r="A13" s="10"/>
      <c r="B13" s="2"/>
      <c r="C13" s="2" t="s">
        <v>213</v>
      </c>
      <c r="D13" s="10"/>
      <c r="E13" s="42">
        <v>250</v>
      </c>
      <c r="F13" s="42">
        <v>261</v>
      </c>
      <c r="G13" s="42">
        <v>268</v>
      </c>
      <c r="H13" s="42">
        <v>267</v>
      </c>
      <c r="I13" s="42">
        <f>238+17</f>
        <v>255</v>
      </c>
      <c r="J13" s="42">
        <f>SUM('QTD P&amp;L'!G12:J12)</f>
        <v>259</v>
      </c>
      <c r="K13" s="42">
        <f>SUM('QTD P&amp;L'!H12:K12)</f>
        <v>268</v>
      </c>
      <c r="L13" s="42">
        <f>SUM('QTD P&amp;L'!I12:L12)</f>
        <v>267</v>
      </c>
      <c r="M13" s="42">
        <f>231+32</f>
        <v>263</v>
      </c>
      <c r="N13" s="42">
        <f>SUM('QTD P&amp;L'!K12:N12)</f>
        <v>250</v>
      </c>
      <c r="O13" s="42">
        <f>SUM('QTD P&amp;L'!L12:O12)</f>
        <v>233</v>
      </c>
      <c r="P13" s="42">
        <f>SUM('QTD P&amp;L'!M12:P12)</f>
        <v>214</v>
      </c>
    </row>
    <row r="14" spans="1:22" s="43" customFormat="1">
      <c r="A14" s="10"/>
      <c r="B14" s="2"/>
      <c r="C14" s="2" t="s">
        <v>194</v>
      </c>
      <c r="D14" s="10"/>
      <c r="E14" s="42">
        <v>338</v>
      </c>
      <c r="F14" s="42">
        <v>301</v>
      </c>
      <c r="G14" s="42">
        <v>297</v>
      </c>
      <c r="H14" s="42">
        <v>260</v>
      </c>
      <c r="I14" s="42">
        <v>218</v>
      </c>
      <c r="J14" s="42">
        <f>SUM('QTD P&amp;L'!G13:J13)</f>
        <v>187</v>
      </c>
      <c r="K14" s="42">
        <f>SUM('QTD P&amp;L'!H13:K13)</f>
        <v>197</v>
      </c>
      <c r="L14" s="42">
        <f>SUM('QTD P&amp;L'!I13:L13)</f>
        <v>192</v>
      </c>
      <c r="M14" s="42">
        <v>194</v>
      </c>
      <c r="N14" s="42">
        <f>SUM('QTD P&amp;L'!K13:N13)</f>
        <v>224</v>
      </c>
      <c r="O14" s="42">
        <f>SUM('QTD P&amp;L'!L13:O13)</f>
        <v>205</v>
      </c>
      <c r="P14" s="42">
        <f>SUM('QTD P&amp;L'!M13:P13)</f>
        <v>202</v>
      </c>
    </row>
    <row r="15" spans="1:22" s="43" customFormat="1">
      <c r="A15" s="10"/>
      <c r="B15" s="2"/>
      <c r="C15" s="2" t="s">
        <v>195</v>
      </c>
      <c r="D15" s="10"/>
      <c r="E15" s="42">
        <v>197</v>
      </c>
      <c r="F15" s="42">
        <v>183</v>
      </c>
      <c r="G15" s="42">
        <v>178</v>
      </c>
      <c r="H15" s="42">
        <v>161</v>
      </c>
      <c r="I15" s="42">
        <v>165</v>
      </c>
      <c r="J15" s="42">
        <f>SUM('QTD P&amp;L'!G14:J14)</f>
        <v>143</v>
      </c>
      <c r="K15" s="42">
        <f>SUM('QTD P&amp;L'!H14:K14)</f>
        <v>139</v>
      </c>
      <c r="L15" s="42">
        <f>SUM('QTD P&amp;L'!I14:L14)</f>
        <v>133</v>
      </c>
      <c r="M15" s="42">
        <v>89</v>
      </c>
      <c r="N15" s="42">
        <f>SUM('QTD P&amp;L'!K14:N14)</f>
        <v>120</v>
      </c>
      <c r="O15" s="42">
        <f>SUM('QTD P&amp;L'!L14:O14)</f>
        <v>114</v>
      </c>
      <c r="P15" s="42">
        <f>SUM('QTD P&amp;L'!M14:P14)</f>
        <v>109</v>
      </c>
    </row>
    <row r="16" spans="1:22">
      <c r="A16" s="10"/>
      <c r="B16" s="10"/>
      <c r="C16" s="6" t="s">
        <v>42</v>
      </c>
      <c r="D16" s="10"/>
      <c r="E16" s="15">
        <v>626</v>
      </c>
      <c r="F16" s="15">
        <v>621</v>
      </c>
      <c r="G16" s="15">
        <v>637</v>
      </c>
      <c r="H16" s="15">
        <v>651</v>
      </c>
      <c r="I16" s="15">
        <f>646-17</f>
        <v>629</v>
      </c>
      <c r="J16" s="15">
        <f>SUM('QTD P&amp;L'!G15:J15)</f>
        <v>605</v>
      </c>
      <c r="K16" s="15">
        <f>SUM('QTD P&amp;L'!H15:K15)</f>
        <v>637</v>
      </c>
      <c r="L16" s="15">
        <f>SUM('QTD P&amp;L'!I15:L15)</f>
        <v>633</v>
      </c>
      <c r="M16" s="15">
        <f>636-32</f>
        <v>604</v>
      </c>
      <c r="N16" s="15">
        <f>SUM('QTD P&amp;L'!K15:N15)</f>
        <v>617</v>
      </c>
      <c r="O16" s="15">
        <f>SUM('QTD P&amp;L'!L15:O15)</f>
        <v>595</v>
      </c>
      <c r="P16" s="15">
        <f>SUM('QTD P&amp;L'!M15:P15)</f>
        <v>610</v>
      </c>
    </row>
    <row r="17" spans="1:19">
      <c r="A17" s="10"/>
      <c r="B17" s="10"/>
      <c r="C17" s="6" t="s">
        <v>43</v>
      </c>
      <c r="D17" s="10"/>
      <c r="E17" s="15">
        <v>516</v>
      </c>
      <c r="F17" s="15">
        <v>520</v>
      </c>
      <c r="G17" s="15">
        <v>485</v>
      </c>
      <c r="H17" s="15">
        <v>490</v>
      </c>
      <c r="I17" s="15">
        <v>545</v>
      </c>
      <c r="J17" s="15">
        <f>SUM('QTD P&amp;L'!G16:J16)</f>
        <v>565</v>
      </c>
      <c r="K17" s="15">
        <f>SUM('QTD P&amp;L'!H16:K16)</f>
        <v>611</v>
      </c>
      <c r="L17" s="15">
        <f>SUM('QTD P&amp;L'!I16:L16)</f>
        <v>627</v>
      </c>
      <c r="M17" s="15">
        <v>578</v>
      </c>
      <c r="N17" s="15">
        <f>SUM('QTD P&amp;L'!K16:N16)</f>
        <v>606</v>
      </c>
      <c r="O17" s="15">
        <f>SUM('QTD P&amp;L'!L16:O16)</f>
        <v>586</v>
      </c>
      <c r="P17" s="15">
        <f>SUM('QTD P&amp;L'!M16:P16)</f>
        <v>599</v>
      </c>
    </row>
    <row r="18" spans="1:19">
      <c r="A18" s="10"/>
      <c r="B18" s="10"/>
      <c r="C18" s="6" t="s">
        <v>44</v>
      </c>
      <c r="D18" s="10"/>
      <c r="E18" s="15">
        <v>375</v>
      </c>
      <c r="F18" s="15">
        <v>412</v>
      </c>
      <c r="G18" s="15">
        <v>464</v>
      </c>
      <c r="H18" s="15">
        <v>455</v>
      </c>
      <c r="I18" s="15">
        <f>455+1</f>
        <v>456</v>
      </c>
      <c r="J18" s="15">
        <f>SUM('QTD P&amp;L'!G17:J17)</f>
        <v>455</v>
      </c>
      <c r="K18" s="15">
        <f>SUM('QTD P&amp;L'!H17:K17)</f>
        <v>518</v>
      </c>
      <c r="L18" s="15">
        <f>SUM('QTD P&amp;L'!I17:L17)</f>
        <v>535</v>
      </c>
      <c r="M18" s="15">
        <v>561</v>
      </c>
      <c r="N18" s="15">
        <f>SUM('QTD P&amp;L'!K17:N17)</f>
        <v>548</v>
      </c>
      <c r="O18" s="15">
        <f>SUM('QTD P&amp;L'!L17:O17)</f>
        <v>454</v>
      </c>
      <c r="P18" s="15">
        <f>SUM('QTD P&amp;L'!M17:P17)</f>
        <v>495</v>
      </c>
    </row>
    <row r="19" spans="1:19">
      <c r="A19" s="10"/>
      <c r="B19" s="10"/>
      <c r="C19" s="6" t="s">
        <v>45</v>
      </c>
      <c r="D19" s="10"/>
      <c r="E19" s="15">
        <v>0</v>
      </c>
      <c r="F19" s="15">
        <v>19</v>
      </c>
      <c r="G19" s="15">
        <v>22</v>
      </c>
      <c r="H19" s="15">
        <v>25</v>
      </c>
      <c r="I19" s="15">
        <f>26-1</f>
        <v>25</v>
      </c>
      <c r="J19" s="15">
        <f>SUM('QTD P&amp;L'!G18:J18)</f>
        <v>7</v>
      </c>
      <c r="K19" s="15">
        <f>SUM('QTD P&amp;L'!H18:K18)</f>
        <v>4</v>
      </c>
      <c r="L19" s="15">
        <f>SUM('QTD P&amp;L'!I18:L18)</f>
        <v>1</v>
      </c>
      <c r="M19" s="15">
        <f>SUM('QTD P&amp;L'!J18:M18)</f>
        <v>0</v>
      </c>
      <c r="N19" s="15">
        <f>SUM('QTD P&amp;L'!K18:N18)</f>
        <v>0</v>
      </c>
      <c r="O19" s="15">
        <f>SUM('QTD P&amp;L'!L18:O18)</f>
        <v>0</v>
      </c>
      <c r="P19" s="15">
        <f>SUM('QTD P&amp;L'!M18:P18)</f>
        <v>0</v>
      </c>
    </row>
    <row r="20" spans="1:19" ht="16.5">
      <c r="A20" s="10"/>
      <c r="B20" s="10"/>
      <c r="C20" s="6" t="s">
        <v>46</v>
      </c>
      <c r="D20" s="10"/>
      <c r="E20" s="16">
        <v>326</v>
      </c>
      <c r="F20" s="16">
        <v>326</v>
      </c>
      <c r="G20" s="16">
        <v>326</v>
      </c>
      <c r="H20" s="16">
        <v>326</v>
      </c>
      <c r="I20" s="16">
        <f>SUM('QTD P&amp;L'!F19:I19)</f>
        <v>0</v>
      </c>
      <c r="J20" s="16">
        <f>SUM('QTD P&amp;L'!G19:J19)</f>
        <v>0</v>
      </c>
      <c r="K20" s="16">
        <f>SUM('QTD P&amp;L'!H19:K19)</f>
        <v>0</v>
      </c>
      <c r="L20" s="16">
        <f>SUM('QTD P&amp;L'!I19:L19)</f>
        <v>0</v>
      </c>
      <c r="M20" s="16">
        <f>SUM('QTD P&amp;L'!J19:M19)</f>
        <v>0</v>
      </c>
      <c r="N20" s="16">
        <f>SUM('QTD P&amp;L'!K19:N19)</f>
        <v>0</v>
      </c>
      <c r="O20" s="16">
        <f>SUM('QTD P&amp;L'!L19:O19)</f>
        <v>0</v>
      </c>
      <c r="P20" s="16">
        <f>SUM('QTD P&amp;L'!M19:P19)</f>
        <v>0</v>
      </c>
    </row>
    <row r="21" spans="1:19" ht="16.5">
      <c r="A21" s="10"/>
      <c r="B21" s="10"/>
      <c r="C21" s="10"/>
      <c r="D21" s="10" t="s">
        <v>184</v>
      </c>
      <c r="E21" s="16">
        <f t="shared" ref="E21:G21" si="0">SUM(E12:E20)</f>
        <v>3978</v>
      </c>
      <c r="F21" s="16">
        <f t="shared" si="0"/>
        <v>3956</v>
      </c>
      <c r="G21" s="16">
        <f t="shared" si="0"/>
        <v>3968</v>
      </c>
      <c r="H21" s="16">
        <f t="shared" ref="H21:M21" si="1">SUM(H12:H20)</f>
        <v>3870</v>
      </c>
      <c r="I21" s="16">
        <f t="shared" si="1"/>
        <v>3427</v>
      </c>
      <c r="J21" s="16">
        <f t="shared" si="1"/>
        <v>3312</v>
      </c>
      <c r="K21" s="16">
        <f t="shared" si="1"/>
        <v>3481</v>
      </c>
      <c r="L21" s="16">
        <f t="shared" si="1"/>
        <v>3503</v>
      </c>
      <c r="M21" s="16">
        <f t="shared" si="1"/>
        <v>3405</v>
      </c>
      <c r="N21" s="16">
        <f t="shared" ref="N21:O21" si="2">SUM(N12:N20)</f>
        <v>3483</v>
      </c>
      <c r="O21" s="16">
        <f t="shared" si="2"/>
        <v>3255</v>
      </c>
      <c r="P21" s="16">
        <f t="shared" ref="P21" si="3">SUM(P12:P20)</f>
        <v>3262</v>
      </c>
    </row>
    <row r="22" spans="1:19">
      <c r="A22" s="11"/>
      <c r="B22" s="25" t="s">
        <v>1</v>
      </c>
      <c r="C22" s="3"/>
      <c r="D22" s="11"/>
      <c r="E22" s="14">
        <f t="shared" ref="E22:G22" si="4">+E10-E21</f>
        <v>469</v>
      </c>
      <c r="F22" s="14">
        <f t="shared" si="4"/>
        <v>632</v>
      </c>
      <c r="G22" s="14">
        <f t="shared" si="4"/>
        <v>799</v>
      </c>
      <c r="H22" s="14">
        <f t="shared" ref="H22:M22" si="5">+H10-H21</f>
        <v>906</v>
      </c>
      <c r="I22" s="14">
        <f t="shared" si="5"/>
        <v>1328</v>
      </c>
      <c r="J22" s="14">
        <f t="shared" si="5"/>
        <v>1167</v>
      </c>
      <c r="K22" s="14">
        <f t="shared" si="5"/>
        <v>927</v>
      </c>
      <c r="L22" s="14">
        <f t="shared" si="5"/>
        <v>992</v>
      </c>
      <c r="M22" s="14">
        <f t="shared" si="5"/>
        <v>1451</v>
      </c>
      <c r="N22" s="14">
        <f t="shared" ref="N22:O22" si="6">+N10-N21</f>
        <v>1525</v>
      </c>
      <c r="O22" s="14">
        <f t="shared" si="6"/>
        <v>1728</v>
      </c>
      <c r="P22" s="14">
        <f t="shared" ref="P22" si="7">+P10-P21</f>
        <v>1571</v>
      </c>
    </row>
    <row r="23" spans="1:19" ht="16.5">
      <c r="A23" s="12"/>
      <c r="B23" s="2" t="s">
        <v>209</v>
      </c>
      <c r="C23" s="12"/>
      <c r="D23" s="12"/>
      <c r="E23" s="16">
        <v>23</v>
      </c>
      <c r="F23" s="16">
        <v>25</v>
      </c>
      <c r="G23" s="16">
        <v>26</v>
      </c>
      <c r="H23" s="16">
        <v>15</v>
      </c>
      <c r="I23" s="16">
        <v>3</v>
      </c>
      <c r="J23" s="16">
        <f>SUM('QTD P&amp;L'!G22:J22)</f>
        <v>1</v>
      </c>
      <c r="K23" s="16">
        <f>SUM('QTD P&amp;L'!H22:K22)</f>
        <v>1</v>
      </c>
      <c r="L23" s="16">
        <f>SUM('QTD P&amp;L'!I22:L22)</f>
        <v>-1</v>
      </c>
      <c r="M23" s="16">
        <v>7</v>
      </c>
      <c r="N23" s="16">
        <f>SUM('QTD P&amp;L'!K22:N22)</f>
        <v>8</v>
      </c>
      <c r="O23" s="16">
        <f>SUM('QTD P&amp;L'!L22:O22)</f>
        <v>6</v>
      </c>
      <c r="P23" s="16">
        <f>SUM('QTD P&amp;L'!M22:P22)</f>
        <v>1</v>
      </c>
    </row>
    <row r="24" spans="1:19">
      <c r="A24" s="12"/>
      <c r="B24" s="22" t="s">
        <v>47</v>
      </c>
      <c r="C24" s="4"/>
      <c r="D24" s="12"/>
      <c r="E24" s="15">
        <f t="shared" ref="E24:G24" si="8">SUM(E22:E23)</f>
        <v>492</v>
      </c>
      <c r="F24" s="15">
        <f t="shared" si="8"/>
        <v>657</v>
      </c>
      <c r="G24" s="15">
        <f t="shared" si="8"/>
        <v>825</v>
      </c>
      <c r="H24" s="15">
        <f t="shared" ref="H24:M24" si="9">SUM(H22:H23)</f>
        <v>921</v>
      </c>
      <c r="I24" s="15">
        <f t="shared" si="9"/>
        <v>1331</v>
      </c>
      <c r="J24" s="15">
        <f t="shared" si="9"/>
        <v>1168</v>
      </c>
      <c r="K24" s="15">
        <f t="shared" si="9"/>
        <v>928</v>
      </c>
      <c r="L24" s="15">
        <f t="shared" si="9"/>
        <v>991</v>
      </c>
      <c r="M24" s="15">
        <f t="shared" si="9"/>
        <v>1458</v>
      </c>
      <c r="N24" s="15">
        <f t="shared" ref="N24" si="10">SUM(N22:N23)</f>
        <v>1533</v>
      </c>
      <c r="O24" s="15">
        <f>SUM(O22:O23)</f>
        <v>1734</v>
      </c>
      <c r="P24" s="15">
        <f>SUM(P22:P23)</f>
        <v>1572</v>
      </c>
    </row>
    <row r="25" spans="1:19" ht="16.5">
      <c r="A25" s="12"/>
      <c r="B25" s="2" t="s">
        <v>48</v>
      </c>
      <c r="C25" s="4"/>
      <c r="D25" s="12"/>
      <c r="E25" s="16">
        <v>74</v>
      </c>
      <c r="F25" s="16">
        <v>117</v>
      </c>
      <c r="G25" s="16">
        <v>169</v>
      </c>
      <c r="H25" s="16">
        <v>168</v>
      </c>
      <c r="I25" s="16">
        <v>246</v>
      </c>
      <c r="J25" s="16">
        <f>SUM('QTD P&amp;L'!G24:J24)</f>
        <v>202</v>
      </c>
      <c r="K25" s="16">
        <f>SUM('QTD P&amp;L'!H24:K24)</f>
        <v>112</v>
      </c>
      <c r="L25" s="16">
        <f>SUM('QTD P&amp;L'!I24:L24)</f>
        <v>97</v>
      </c>
      <c r="M25" s="16">
        <v>309</v>
      </c>
      <c r="N25" s="16">
        <f>SUM('QTD P&amp;L'!K24:N24)</f>
        <v>312</v>
      </c>
      <c r="O25" s="16">
        <f>SUM('QTD P&amp;L'!L24:O24)</f>
        <v>374</v>
      </c>
      <c r="P25" s="16">
        <f>SUM('QTD P&amp;L'!M24:P24)</f>
        <v>382</v>
      </c>
    </row>
    <row r="26" spans="1:19" ht="16.5">
      <c r="A26" s="9"/>
      <c r="B26" s="25" t="s">
        <v>2</v>
      </c>
      <c r="C26" s="9"/>
      <c r="D26" s="9"/>
      <c r="E26" s="17">
        <f t="shared" ref="E26:G26" si="11">E24-E25</f>
        <v>418</v>
      </c>
      <c r="F26" s="17">
        <f t="shared" si="11"/>
        <v>540</v>
      </c>
      <c r="G26" s="17">
        <f t="shared" si="11"/>
        <v>656</v>
      </c>
      <c r="H26" s="17">
        <f t="shared" ref="H26:M26" si="12">H24-H25</f>
        <v>753</v>
      </c>
      <c r="I26" s="17">
        <f t="shared" si="12"/>
        <v>1085</v>
      </c>
      <c r="J26" s="17">
        <f t="shared" si="12"/>
        <v>966</v>
      </c>
      <c r="K26" s="17">
        <f t="shared" si="12"/>
        <v>816</v>
      </c>
      <c r="L26" s="17">
        <f t="shared" si="12"/>
        <v>894</v>
      </c>
      <c r="M26" s="17">
        <f t="shared" si="12"/>
        <v>1149</v>
      </c>
      <c r="N26" s="17">
        <f t="shared" ref="N26:O26" si="13">N24-N25</f>
        <v>1221</v>
      </c>
      <c r="O26" s="17">
        <f t="shared" si="13"/>
        <v>1360</v>
      </c>
      <c r="P26" s="17">
        <f t="shared" ref="P26" si="14">P24-P25</f>
        <v>1190</v>
      </c>
      <c r="R26" s="399"/>
    </row>
    <row r="27" spans="1:19" ht="39" customHeight="1">
      <c r="A27" s="10"/>
      <c r="B27" s="431" t="s">
        <v>247</v>
      </c>
      <c r="C27" s="431"/>
      <c r="D27" s="431"/>
      <c r="E27" s="390">
        <v>412</v>
      </c>
      <c r="F27" s="390">
        <v>530</v>
      </c>
      <c r="G27" s="390">
        <v>643</v>
      </c>
      <c r="H27" s="390">
        <v>739</v>
      </c>
      <c r="I27" s="390">
        <f>SUM('QTD P&amp;L'!F26:I26)</f>
        <v>1069</v>
      </c>
      <c r="J27" s="390">
        <f>SUM('QTD P&amp;L'!G26:J26)</f>
        <v>950</v>
      </c>
      <c r="K27" s="390">
        <f>SUM('QTD P&amp;L'!H26:K26)</f>
        <v>801</v>
      </c>
      <c r="L27" s="390">
        <f>SUM('QTD P&amp;L'!I26:L26)</f>
        <v>876</v>
      </c>
      <c r="M27" s="390">
        <f>SUM('QTD P&amp;L'!J26:M26)</f>
        <v>1125</v>
      </c>
      <c r="N27" s="390">
        <f>SUM('QTD P&amp;L'!K26:N26)</f>
        <v>1194</v>
      </c>
      <c r="O27" s="390">
        <f>SUM('QTD P&amp;L'!L26:O26)</f>
        <v>1331</v>
      </c>
      <c r="P27" s="390">
        <f>SUM('QTD P&amp;L'!M26:P26)</f>
        <v>1165</v>
      </c>
      <c r="Q27" s="391"/>
      <c r="R27" s="391"/>
      <c r="S27" s="268"/>
    </row>
    <row r="28" spans="1:19" ht="9.75" customHeight="1">
      <c r="A28" s="9"/>
      <c r="B28" s="25"/>
      <c r="C28" s="9"/>
      <c r="D28" s="9"/>
      <c r="E28" s="340"/>
      <c r="F28" s="340"/>
      <c r="G28" s="340"/>
      <c r="H28" s="17"/>
      <c r="I28" s="17"/>
      <c r="J28" s="17"/>
      <c r="K28" s="17"/>
      <c r="L28" s="17"/>
      <c r="M28" s="17"/>
      <c r="N28" s="17"/>
      <c r="O28" s="17"/>
      <c r="P28" s="17"/>
    </row>
    <row r="29" spans="1:19" s="46" customFormat="1">
      <c r="A29" s="54"/>
      <c r="B29" s="55" t="s">
        <v>30</v>
      </c>
      <c r="C29" s="55"/>
      <c r="D29" s="55"/>
      <c r="E29" s="341"/>
      <c r="F29" s="341"/>
      <c r="G29" s="341"/>
      <c r="H29" s="56"/>
      <c r="I29" s="56"/>
      <c r="J29" s="56"/>
      <c r="K29" s="56"/>
      <c r="L29" s="56"/>
      <c r="M29" s="56"/>
      <c r="N29" s="56"/>
      <c r="O29" s="56"/>
      <c r="P29" s="56"/>
    </row>
    <row r="30" spans="1:19" s="46" customFormat="1">
      <c r="A30" s="54"/>
      <c r="B30" s="55"/>
      <c r="C30" s="334" t="s">
        <v>32</v>
      </c>
      <c r="D30" s="55"/>
      <c r="E30" s="58">
        <v>0.34</v>
      </c>
      <c r="F30" s="58">
        <v>0.43999999999999995</v>
      </c>
      <c r="G30" s="58">
        <v>0.55000000000000004</v>
      </c>
      <c r="H30" s="58">
        <v>0.64</v>
      </c>
      <c r="I30" s="58">
        <f>SUM('QTD P&amp;L'!F29:I29)</f>
        <v>0.92999999999999994</v>
      </c>
      <c r="J30" s="58">
        <f>SUM('QTD P&amp;L'!G29:J29)</f>
        <v>0.85000000000000009</v>
      </c>
      <c r="K30" s="58">
        <f>SUM('QTD P&amp;L'!H29:K29)</f>
        <v>0.72000000000000008</v>
      </c>
      <c r="L30" s="58">
        <f>SUM('QTD P&amp;L'!I29:L29)</f>
        <v>0.79</v>
      </c>
      <c r="M30" s="58">
        <v>1.01</v>
      </c>
      <c r="N30" s="58">
        <f>SUM('QTD P&amp;L'!K29:N29)</f>
        <v>1.0699999999999998</v>
      </c>
      <c r="O30" s="58">
        <f>SUM('QTD P&amp;L'!L29:O29)</f>
        <v>1.19</v>
      </c>
      <c r="P30" s="58">
        <f>SUM('QTD P&amp;L'!M29:P29)</f>
        <v>1.04</v>
      </c>
    </row>
    <row r="31" spans="1:19" s="46" customFormat="1">
      <c r="A31" s="54"/>
      <c r="B31" s="55"/>
      <c r="C31" s="334" t="s">
        <v>33</v>
      </c>
      <c r="D31" s="55"/>
      <c r="E31" s="58">
        <v>0.33</v>
      </c>
      <c r="F31" s="58">
        <v>0.43</v>
      </c>
      <c r="G31" s="58">
        <v>0.55000000000000004</v>
      </c>
      <c r="H31" s="58">
        <v>0.64</v>
      </c>
      <c r="I31" s="58">
        <f>SUM('QTD P&amp;L'!F30:I30)</f>
        <v>0.91999999999999993</v>
      </c>
      <c r="J31" s="58">
        <f>SUM('QTD P&amp;L'!G30:J30)</f>
        <v>0.83000000000000007</v>
      </c>
      <c r="K31" s="58">
        <f>SUM('QTD P&amp;L'!H30:K30)</f>
        <v>0.70000000000000007</v>
      </c>
      <c r="L31" s="58">
        <f>SUM('QTD P&amp;L'!I30:L30)</f>
        <v>0.77</v>
      </c>
      <c r="M31" s="58">
        <v>1.01</v>
      </c>
      <c r="N31" s="58">
        <f>SUM('QTD P&amp;L'!K30:N30)</f>
        <v>1.0699999999999998</v>
      </c>
      <c r="O31" s="58">
        <f>SUM('QTD P&amp;L'!L30:O30)</f>
        <v>1.19</v>
      </c>
      <c r="P31" s="58">
        <f>SUM('QTD P&amp;L'!M30:P30)</f>
        <v>1.04</v>
      </c>
    </row>
    <row r="32" spans="1:19" s="46" customFormat="1" ht="4.1500000000000004" customHeight="1">
      <c r="A32" s="54"/>
      <c r="B32" s="55"/>
      <c r="C32" s="55"/>
      <c r="D32" s="55"/>
      <c r="E32" s="342"/>
      <c r="F32" s="342"/>
      <c r="G32" s="314"/>
      <c r="H32" s="314"/>
      <c r="I32" s="314"/>
      <c r="J32" s="314"/>
      <c r="K32" s="314"/>
      <c r="L32" s="314"/>
      <c r="M32" s="314"/>
      <c r="N32" s="314"/>
      <c r="O32" s="314"/>
      <c r="P32" s="314"/>
    </row>
    <row r="33" spans="1:16" s="46" customFormat="1">
      <c r="A33" s="54"/>
      <c r="B33" s="59" t="s">
        <v>31</v>
      </c>
      <c r="C33" s="54"/>
      <c r="D33" s="55"/>
      <c r="E33" s="342"/>
      <c r="F33" s="342"/>
      <c r="G33" s="314"/>
      <c r="H33" s="314"/>
      <c r="I33" s="314"/>
      <c r="J33" s="314"/>
      <c r="K33" s="314"/>
      <c r="L33" s="314"/>
      <c r="M33" s="314"/>
      <c r="N33" s="314"/>
      <c r="O33" s="314"/>
      <c r="P33" s="314"/>
    </row>
    <row r="34" spans="1:16" s="46" customFormat="1">
      <c r="A34" s="54"/>
      <c r="B34" s="55"/>
      <c r="C34" s="57" t="s">
        <v>32</v>
      </c>
      <c r="D34" s="55"/>
      <c r="E34" s="60">
        <v>1222</v>
      </c>
      <c r="F34" s="60">
        <v>1203.75</v>
      </c>
      <c r="G34" s="60">
        <v>1181</v>
      </c>
      <c r="H34" s="60">
        <v>1163</v>
      </c>
      <c r="I34" s="60">
        <v>1148</v>
      </c>
      <c r="J34" s="60">
        <f>AVERAGE('QTD P&amp;L'!G33:J33)</f>
        <v>1135</v>
      </c>
      <c r="K34" s="60">
        <f>AVERAGE('QTD P&amp;L'!H33:K33)</f>
        <v>1127</v>
      </c>
      <c r="L34" s="60">
        <f>AVERAGE('QTD P&amp;L'!I33:L33)</f>
        <v>1119.25</v>
      </c>
      <c r="M34" s="60">
        <v>1112</v>
      </c>
      <c r="N34" s="60">
        <f>AVERAGE('QTD P&amp;L'!K33:N33)</f>
        <v>1110.5</v>
      </c>
      <c r="O34" s="60">
        <f>AVERAGE('QTD P&amp;L'!L33:O33)</f>
        <v>1112.75</v>
      </c>
      <c r="P34" s="60">
        <f>AVERAGE('QTD P&amp;L'!M33:P33)</f>
        <v>1116</v>
      </c>
    </row>
    <row r="35" spans="1:16" s="46" customFormat="1">
      <c r="A35" s="54"/>
      <c r="B35" s="55"/>
      <c r="C35" s="57" t="s">
        <v>33</v>
      </c>
      <c r="D35" s="55"/>
      <c r="E35" s="60">
        <v>1236</v>
      </c>
      <c r="F35" s="60">
        <v>1213.75</v>
      </c>
      <c r="G35" s="60">
        <v>1189.25</v>
      </c>
      <c r="H35" s="60">
        <v>1169.5</v>
      </c>
      <c r="I35" s="60">
        <v>1156</v>
      </c>
      <c r="J35" s="60">
        <f>AVERAGE('QTD P&amp;L'!G34:J34)</f>
        <v>1143</v>
      </c>
      <c r="K35" s="60">
        <f>AVERAGE('QTD P&amp;L'!H34:K34)</f>
        <v>1134.25</v>
      </c>
      <c r="L35" s="60">
        <f>AVERAGE('QTD P&amp;L'!I34:L34)</f>
        <v>1125.75</v>
      </c>
      <c r="M35" s="60">
        <v>1118</v>
      </c>
      <c r="N35" s="60">
        <f>AVERAGE('QTD P&amp;L'!K34:N34)</f>
        <v>1116</v>
      </c>
      <c r="O35" s="60">
        <f>AVERAGE('QTD P&amp;L'!L34:O34)</f>
        <v>1119</v>
      </c>
      <c r="P35" s="60">
        <f>AVERAGE('QTD P&amp;L'!M34:P34)</f>
        <v>1124</v>
      </c>
    </row>
    <row r="36" spans="1:16" s="46" customFormat="1">
      <c r="A36" s="54"/>
      <c r="B36" s="55"/>
      <c r="C36" s="18" t="s">
        <v>270</v>
      </c>
      <c r="D36" s="55"/>
      <c r="E36" s="60">
        <v>11.75</v>
      </c>
      <c r="F36" s="60">
        <v>13.25</v>
      </c>
      <c r="G36" s="60">
        <v>15</v>
      </c>
      <c r="H36" s="60">
        <v>16.5</v>
      </c>
      <c r="I36" s="60">
        <f>AVERAGE('QTD P&amp;L'!F35:I35)</f>
        <v>17</v>
      </c>
      <c r="J36" s="60">
        <f>AVERAGE('QTD P&amp;L'!G35:J35)</f>
        <v>17.5</v>
      </c>
      <c r="K36" s="60">
        <f>AVERAGE('QTD P&amp;L'!H35:K35)</f>
        <v>19.25</v>
      </c>
      <c r="L36" s="60">
        <f>AVERAGE('QTD P&amp;L'!I35:L35)</f>
        <v>21.75</v>
      </c>
      <c r="M36" s="60">
        <f>AVERAGE('QTD P&amp;L'!J35:M35)</f>
        <v>24.25</v>
      </c>
      <c r="N36" s="60">
        <f>AVERAGE('QTD P&amp;L'!K35:N35)</f>
        <v>26</v>
      </c>
      <c r="O36" s="60">
        <f>AVERAGE('QTD P&amp;L'!L35:O35)</f>
        <v>26</v>
      </c>
      <c r="P36" s="60">
        <f>AVERAGE('QTD P&amp;L'!M35:P35)</f>
        <v>25.25</v>
      </c>
    </row>
    <row r="37" spans="1:16" s="46" customFormat="1">
      <c r="A37" s="54"/>
      <c r="B37" s="55"/>
      <c r="C37" s="57"/>
      <c r="D37" s="55"/>
      <c r="E37" s="62"/>
      <c r="F37" s="62"/>
      <c r="G37" s="315"/>
      <c r="H37" s="315"/>
      <c r="I37" s="315"/>
      <c r="J37" s="315"/>
      <c r="K37" s="315"/>
      <c r="L37" s="315"/>
      <c r="M37" s="315"/>
      <c r="N37" s="315"/>
      <c r="O37" s="315"/>
      <c r="P37" s="315"/>
    </row>
    <row r="38" spans="1:16">
      <c r="A38" s="20" t="s">
        <v>294</v>
      </c>
      <c r="B38" s="29"/>
      <c r="C38" s="18"/>
      <c r="D38" s="29"/>
      <c r="E38" s="33"/>
      <c r="F38" s="33"/>
      <c r="G38" s="316"/>
      <c r="H38" s="316"/>
      <c r="I38" s="316"/>
      <c r="J38" s="316"/>
      <c r="K38" s="316"/>
      <c r="L38" s="316"/>
      <c r="M38" s="316"/>
      <c r="N38" s="316"/>
      <c r="O38" s="316"/>
      <c r="P38" s="316"/>
    </row>
    <row r="39" spans="1:16">
      <c r="A39" s="32"/>
      <c r="B39" s="29"/>
      <c r="C39" s="18"/>
      <c r="D39" s="29"/>
      <c r="E39" s="19" t="str">
        <f t="shared" ref="E39:G39" si="15">E6</f>
        <v>Q4</v>
      </c>
      <c r="F39" s="19" t="str">
        <f t="shared" si="15"/>
        <v>Q1</v>
      </c>
      <c r="G39" s="19" t="str">
        <f t="shared" si="15"/>
        <v>Q2</v>
      </c>
      <c r="H39" s="19" t="str">
        <f t="shared" ref="H39:I39" si="16">H6</f>
        <v>Q3</v>
      </c>
      <c r="I39" s="19" t="str">
        <f t="shared" si="16"/>
        <v>Q4</v>
      </c>
      <c r="J39" s="19" t="str">
        <f t="shared" ref="J39:K39" si="17">J6</f>
        <v>Q1</v>
      </c>
      <c r="K39" s="19" t="str">
        <f t="shared" si="17"/>
        <v>Q2</v>
      </c>
      <c r="L39" s="19" t="str">
        <f t="shared" ref="L39:M39" si="18">L6</f>
        <v>Q3</v>
      </c>
      <c r="M39" s="19" t="str">
        <f t="shared" si="18"/>
        <v>Q4</v>
      </c>
      <c r="N39" s="19" t="str">
        <f t="shared" ref="N39:O39" si="19">N6</f>
        <v>Q1</v>
      </c>
      <c r="O39" s="19" t="str">
        <f t="shared" si="19"/>
        <v>Q2</v>
      </c>
      <c r="P39" s="19" t="str">
        <f t="shared" ref="P39" si="20">P6</f>
        <v>Q3</v>
      </c>
    </row>
    <row r="40" spans="1:16">
      <c r="A40" s="32"/>
      <c r="B40" s="29"/>
      <c r="C40" s="18"/>
      <c r="D40" s="29"/>
      <c r="E40" s="19" t="str">
        <f t="shared" ref="E40:G40" si="21">E7</f>
        <v>CY10</v>
      </c>
      <c r="F40" s="19" t="str">
        <f t="shared" si="21"/>
        <v>CY11</v>
      </c>
      <c r="G40" s="19" t="str">
        <f t="shared" si="21"/>
        <v>CY11</v>
      </c>
      <c r="H40" s="19" t="str">
        <f t="shared" ref="H40:I40" si="22">H7</f>
        <v>CY11</v>
      </c>
      <c r="I40" s="19" t="str">
        <f t="shared" si="22"/>
        <v>CY11</v>
      </c>
      <c r="J40" s="19" t="str">
        <f t="shared" ref="J40:K40" si="23">J7</f>
        <v>CY12</v>
      </c>
      <c r="K40" s="19" t="str">
        <f t="shared" si="23"/>
        <v>CY12</v>
      </c>
      <c r="L40" s="19" t="str">
        <f t="shared" ref="L40:M40" si="24">L7</f>
        <v>CY12</v>
      </c>
      <c r="M40" s="19" t="str">
        <f t="shared" si="24"/>
        <v>CY12</v>
      </c>
      <c r="N40" s="19" t="str">
        <f t="shared" ref="N40:O40" si="25">N7</f>
        <v>CY13</v>
      </c>
      <c r="O40" s="19" t="str">
        <f t="shared" si="25"/>
        <v>CY13</v>
      </c>
      <c r="P40" s="19" t="str">
        <f t="shared" ref="P40" si="26">P7</f>
        <v>CY13</v>
      </c>
    </row>
    <row r="41" spans="1:16">
      <c r="A41" s="32"/>
      <c r="B41" s="29"/>
      <c r="C41" s="18"/>
      <c r="D41" s="29"/>
      <c r="E41" s="41" t="s">
        <v>198</v>
      </c>
      <c r="F41" s="41" t="s">
        <v>198</v>
      </c>
      <c r="G41" s="41" t="s">
        <v>198</v>
      </c>
      <c r="H41" s="41" t="s">
        <v>198</v>
      </c>
      <c r="I41" s="41" t="s">
        <v>198</v>
      </c>
      <c r="J41" s="41" t="s">
        <v>198</v>
      </c>
      <c r="K41" s="41" t="s">
        <v>198</v>
      </c>
      <c r="L41" s="41" t="s">
        <v>198</v>
      </c>
      <c r="M41" s="41" t="s">
        <v>198</v>
      </c>
      <c r="N41" s="41" t="s">
        <v>198</v>
      </c>
      <c r="O41" s="41" t="s">
        <v>198</v>
      </c>
      <c r="P41" s="41" t="s">
        <v>198</v>
      </c>
    </row>
    <row r="42" spans="1:16">
      <c r="A42" s="32"/>
      <c r="B42" s="29"/>
      <c r="C42" s="18"/>
      <c r="D42" s="29"/>
      <c r="E42" s="33"/>
      <c r="F42" s="33"/>
      <c r="G42" s="33"/>
      <c r="H42" s="33"/>
      <c r="I42" s="33"/>
      <c r="J42" s="33"/>
      <c r="K42" s="33"/>
      <c r="L42" s="33"/>
      <c r="M42" s="33"/>
      <c r="N42" s="33"/>
      <c r="O42" s="33"/>
      <c r="P42" s="33"/>
    </row>
    <row r="43" spans="1:16">
      <c r="A43" s="32"/>
      <c r="B43" s="1" t="s">
        <v>185</v>
      </c>
      <c r="C43" s="18"/>
      <c r="D43" s="29"/>
      <c r="E43" s="33"/>
      <c r="F43" s="33"/>
      <c r="G43" s="33"/>
      <c r="H43" s="33"/>
      <c r="I43" s="33"/>
      <c r="J43" s="33"/>
      <c r="K43" s="33"/>
      <c r="L43" s="33"/>
      <c r="M43" s="33"/>
      <c r="N43" s="33"/>
      <c r="O43" s="33"/>
      <c r="P43" s="33"/>
    </row>
    <row r="44" spans="1:16" s="43" customFormat="1">
      <c r="A44" s="10"/>
      <c r="C44" s="2" t="s">
        <v>196</v>
      </c>
      <c r="D44" s="10"/>
      <c r="E44" s="35">
        <f t="shared" ref="E44:G44" si="27">E12/E$10</f>
        <v>0.30357544411963122</v>
      </c>
      <c r="F44" s="35">
        <f t="shared" si="27"/>
        <v>0.28618134263295553</v>
      </c>
      <c r="G44" s="35">
        <f t="shared" si="27"/>
        <v>0.27082022236207259</v>
      </c>
      <c r="H44" s="35">
        <f t="shared" ref="H44:M58" si="28">H12/H$10</f>
        <v>0.25858458961474035</v>
      </c>
      <c r="I44" s="35">
        <f t="shared" si="28"/>
        <v>0.2384858044164038</v>
      </c>
      <c r="J44" s="35">
        <f t="shared" si="28"/>
        <v>0.24358115650814913</v>
      </c>
      <c r="K44" s="35">
        <f t="shared" si="28"/>
        <v>0.25113430127041741</v>
      </c>
      <c r="L44" s="35">
        <f t="shared" si="28"/>
        <v>0.24805339265850945</v>
      </c>
      <c r="M44" s="35">
        <f t="shared" si="28"/>
        <v>0.2298187808896211</v>
      </c>
      <c r="N44" s="35">
        <f t="shared" ref="N44" si="29">N12/N$10</f>
        <v>0.22324281150159744</v>
      </c>
      <c r="O44" s="35">
        <f>O12/O$10</f>
        <v>0.21432871763997591</v>
      </c>
      <c r="P44" s="35">
        <f>P12/P$10</f>
        <v>0.2137388785433478</v>
      </c>
    </row>
    <row r="45" spans="1:16" s="43" customFormat="1">
      <c r="A45" s="10"/>
      <c r="C45" s="2" t="s">
        <v>213</v>
      </c>
      <c r="D45" s="10"/>
      <c r="E45" s="35">
        <f t="shared" ref="E45:G45" si="30">E13/E$10</f>
        <v>5.621767483696874E-2</v>
      </c>
      <c r="F45" s="35">
        <f t="shared" si="30"/>
        <v>5.6887532693984305E-2</v>
      </c>
      <c r="G45" s="35">
        <f t="shared" si="30"/>
        <v>5.6219844766100271E-2</v>
      </c>
      <c r="H45" s="35">
        <f t="shared" si="28"/>
        <v>5.5904522613065326E-2</v>
      </c>
      <c r="I45" s="35">
        <f t="shared" si="28"/>
        <v>5.362776025236593E-2</v>
      </c>
      <c r="J45" s="35">
        <f t="shared" si="28"/>
        <v>5.7825407457021659E-2</v>
      </c>
      <c r="K45" s="35">
        <f t="shared" si="28"/>
        <v>6.0798548094373864E-2</v>
      </c>
      <c r="L45" s="35">
        <f t="shared" si="28"/>
        <v>5.9399332591768633E-2</v>
      </c>
      <c r="M45" s="35">
        <f t="shared" si="28"/>
        <v>5.4159802306425038E-2</v>
      </c>
      <c r="N45" s="35">
        <f t="shared" ref="N45:O45" si="31">N13/N$10</f>
        <v>4.992012779552716E-2</v>
      </c>
      <c r="O45" s="35">
        <f t="shared" si="31"/>
        <v>4.675898053381497E-2</v>
      </c>
      <c r="P45" s="35">
        <f t="shared" ref="P45" si="32">P13/P$10</f>
        <v>4.4278915787295675E-2</v>
      </c>
    </row>
    <row r="46" spans="1:16" s="43" customFormat="1">
      <c r="A46" s="10"/>
      <c r="C46" s="2" t="s">
        <v>194</v>
      </c>
      <c r="D46" s="10"/>
      <c r="E46" s="35">
        <f t="shared" ref="E46:G46" si="33">E14/E$10</f>
        <v>7.6006296379581742E-2</v>
      </c>
      <c r="F46" s="35">
        <f t="shared" si="33"/>
        <v>6.560592850915431E-2</v>
      </c>
      <c r="G46" s="35">
        <f t="shared" si="33"/>
        <v>6.2303335431088736E-2</v>
      </c>
      <c r="H46" s="35">
        <f t="shared" si="28"/>
        <v>5.443886097152429E-2</v>
      </c>
      <c r="I46" s="35">
        <f t="shared" si="28"/>
        <v>4.5846477392218719E-2</v>
      </c>
      <c r="J46" s="35">
        <f t="shared" si="28"/>
        <v>4.1750390712212544E-2</v>
      </c>
      <c r="K46" s="35">
        <f t="shared" si="28"/>
        <v>4.4691470054446458E-2</v>
      </c>
      <c r="L46" s="35">
        <f t="shared" si="28"/>
        <v>4.2714126807563958E-2</v>
      </c>
      <c r="M46" s="35">
        <f t="shared" si="28"/>
        <v>3.9950576606260293E-2</v>
      </c>
      <c r="N46" s="35">
        <f t="shared" ref="N46:O46" si="34">N14/N$10</f>
        <v>4.472843450479233E-2</v>
      </c>
      <c r="O46" s="35">
        <f t="shared" si="34"/>
        <v>4.1139875576961672E-2</v>
      </c>
      <c r="P46" s="35">
        <f t="shared" ref="P46" si="35">P14/P$10</f>
        <v>4.1795985930064145E-2</v>
      </c>
    </row>
    <row r="47" spans="1:16" s="43" customFormat="1">
      <c r="A47" s="10"/>
      <c r="C47" s="2" t="s">
        <v>195</v>
      </c>
      <c r="D47" s="10"/>
      <c r="E47" s="35">
        <f t="shared" ref="E47:G47" si="36">E15/E$10</f>
        <v>4.4299527771531372E-2</v>
      </c>
      <c r="F47" s="35">
        <f t="shared" si="36"/>
        <v>3.9886660854402789E-2</v>
      </c>
      <c r="G47" s="35">
        <f t="shared" si="36"/>
        <v>3.7340046150618839E-2</v>
      </c>
      <c r="H47" s="35">
        <f t="shared" si="28"/>
        <v>3.3710217755443889E-2</v>
      </c>
      <c r="I47" s="35">
        <f t="shared" si="28"/>
        <v>3.4700315457413249E-2</v>
      </c>
      <c r="J47" s="35">
        <f t="shared" si="28"/>
        <v>3.1926769368162536E-2</v>
      </c>
      <c r="K47" s="35">
        <f t="shared" si="28"/>
        <v>3.1533575317604354E-2</v>
      </c>
      <c r="L47" s="35">
        <f t="shared" si="28"/>
        <v>2.9588431590656286E-2</v>
      </c>
      <c r="M47" s="35">
        <f t="shared" si="28"/>
        <v>1.8327841845140032E-2</v>
      </c>
      <c r="N47" s="35">
        <f t="shared" ref="N47:O47" si="37">N15/N$10</f>
        <v>2.3961661341853034E-2</v>
      </c>
      <c r="O47" s="35">
        <f t="shared" si="37"/>
        <v>2.2877784467188442E-2</v>
      </c>
      <c r="P47" s="35">
        <f t="shared" ref="P47" si="38">P15/P$10</f>
        <v>2.2553279536519762E-2</v>
      </c>
    </row>
    <row r="48" spans="1:16">
      <c r="A48" s="10"/>
      <c r="B48" s="10"/>
      <c r="C48" s="6" t="s">
        <v>42</v>
      </c>
      <c r="D48" s="10"/>
      <c r="E48" s="35">
        <f t="shared" ref="E48:G48" si="39">E16/E$10</f>
        <v>0.14076905779176974</v>
      </c>
      <c r="F48" s="35">
        <f t="shared" si="39"/>
        <v>0.13535309503051438</v>
      </c>
      <c r="G48" s="35">
        <f t="shared" si="39"/>
        <v>0.13362701908957417</v>
      </c>
      <c r="H48" s="35">
        <f t="shared" si="28"/>
        <v>0.13630653266331658</v>
      </c>
      <c r="I48" s="35">
        <f t="shared" si="28"/>
        <v>0.13228180862250263</v>
      </c>
      <c r="J48" s="35">
        <f t="shared" si="28"/>
        <v>0.13507479348068765</v>
      </c>
      <c r="K48" s="35">
        <f t="shared" si="28"/>
        <v>0.14450998185117966</v>
      </c>
      <c r="L48" s="35">
        <f t="shared" si="28"/>
        <v>0.14082313681868744</v>
      </c>
      <c r="M48" s="35">
        <f t="shared" si="28"/>
        <v>0.1243822075782537</v>
      </c>
      <c r="N48" s="35">
        <f t="shared" ref="N48:O48" si="40">N16/N$10</f>
        <v>0.12320287539936102</v>
      </c>
      <c r="O48" s="35">
        <f t="shared" si="40"/>
        <v>0.11940598033313266</v>
      </c>
      <c r="P48" s="35">
        <f t="shared" ref="P48" si="41">P16/P$10</f>
        <v>0.12621560107593627</v>
      </c>
    </row>
    <row r="49" spans="1:16">
      <c r="A49" s="10"/>
      <c r="B49" s="10"/>
      <c r="C49" s="6" t="s">
        <v>43</v>
      </c>
      <c r="D49" s="10"/>
      <c r="E49" s="35">
        <f t="shared" ref="E49:G49" si="42">E17/E$10</f>
        <v>0.11603328086350348</v>
      </c>
      <c r="F49" s="35">
        <f t="shared" si="42"/>
        <v>0.11333914559721012</v>
      </c>
      <c r="G49" s="35">
        <f t="shared" si="42"/>
        <v>0.10174113698342774</v>
      </c>
      <c r="H49" s="35">
        <f t="shared" si="28"/>
        <v>0.1025963149078727</v>
      </c>
      <c r="I49" s="35">
        <f t="shared" si="28"/>
        <v>0.11461619348054679</v>
      </c>
      <c r="J49" s="35">
        <f t="shared" si="28"/>
        <v>0.12614422862246036</v>
      </c>
      <c r="K49" s="35">
        <f t="shared" si="28"/>
        <v>0.13861161524500906</v>
      </c>
      <c r="L49" s="35">
        <f t="shared" si="28"/>
        <v>0.13948832035595105</v>
      </c>
      <c r="M49" s="35">
        <f t="shared" si="28"/>
        <v>0.11902800658978584</v>
      </c>
      <c r="N49" s="35">
        <f t="shared" ref="N49:O49" si="43">N17/N$10</f>
        <v>0.12100638977635783</v>
      </c>
      <c r="O49" s="35">
        <f t="shared" si="43"/>
        <v>0.1175998394541441</v>
      </c>
      <c r="P49" s="35">
        <f t="shared" ref="P49" si="44">P17/P$10</f>
        <v>0.1239395820401407</v>
      </c>
    </row>
    <row r="50" spans="1:16">
      <c r="A50" s="10"/>
      <c r="B50" s="10"/>
      <c r="C50" s="6" t="s">
        <v>44</v>
      </c>
      <c r="D50" s="10"/>
      <c r="E50" s="35">
        <f t="shared" ref="E50:G50" si="45">E18/E$10</f>
        <v>8.4326512255453109E-2</v>
      </c>
      <c r="F50" s="35">
        <f t="shared" si="45"/>
        <v>8.979947689625109E-2</v>
      </c>
      <c r="G50" s="35">
        <f t="shared" si="45"/>
        <v>9.7335850639815397E-2</v>
      </c>
      <c r="H50" s="35">
        <f t="shared" si="28"/>
        <v>9.526800670016751E-2</v>
      </c>
      <c r="I50" s="35">
        <f t="shared" si="28"/>
        <v>9.5899053627760258E-2</v>
      </c>
      <c r="J50" s="35">
        <f t="shared" si="28"/>
        <v>0.10158517526233535</v>
      </c>
      <c r="K50" s="35">
        <f t="shared" si="28"/>
        <v>0.11751361161524501</v>
      </c>
      <c r="L50" s="35">
        <f t="shared" si="28"/>
        <v>0.11902113459399333</v>
      </c>
      <c r="M50" s="35">
        <f t="shared" si="28"/>
        <v>0.11552718286655683</v>
      </c>
      <c r="N50" s="35">
        <f t="shared" ref="N50:O50" si="46">N18/N$10</f>
        <v>0.10942492012779553</v>
      </c>
      <c r="O50" s="35">
        <f t="shared" si="46"/>
        <v>9.1109773228978522E-2</v>
      </c>
      <c r="P50" s="35">
        <f t="shared" ref="P50" si="47">P18/P$10</f>
        <v>0.10242085661080075</v>
      </c>
    </row>
    <row r="51" spans="1:16">
      <c r="A51" s="10"/>
      <c r="B51" s="10"/>
      <c r="C51" s="6" t="s">
        <v>45</v>
      </c>
      <c r="D51" s="10"/>
      <c r="E51" s="38">
        <f t="shared" ref="E51:G51" si="48">E19/E$10</f>
        <v>0</v>
      </c>
      <c r="F51" s="38">
        <f t="shared" si="48"/>
        <v>4.141238012205754E-3</v>
      </c>
      <c r="G51" s="38">
        <f t="shared" si="48"/>
        <v>4.6150618837843506E-3</v>
      </c>
      <c r="H51" s="38">
        <f t="shared" si="28"/>
        <v>5.2345058626465666E-3</v>
      </c>
      <c r="I51" s="38">
        <f t="shared" si="28"/>
        <v>5.2576235541535229E-3</v>
      </c>
      <c r="J51" s="38">
        <f t="shared" si="28"/>
        <v>1.5628488501897744E-3</v>
      </c>
      <c r="K51" s="38">
        <f t="shared" si="28"/>
        <v>9.0744101633393826E-4</v>
      </c>
      <c r="L51" s="38">
        <f t="shared" si="28"/>
        <v>2.224694104560623E-4</v>
      </c>
      <c r="M51" s="38">
        <f t="shared" si="28"/>
        <v>0</v>
      </c>
      <c r="N51" s="38">
        <f t="shared" ref="N51:O51" si="49">N19/N$10</f>
        <v>0</v>
      </c>
      <c r="O51" s="38">
        <f t="shared" si="49"/>
        <v>0</v>
      </c>
      <c r="P51" s="38">
        <f t="shared" ref="P51" si="50">P19/P$10</f>
        <v>0</v>
      </c>
    </row>
    <row r="52" spans="1:16" ht="16.5">
      <c r="A52" s="10"/>
      <c r="B52" s="10"/>
      <c r="C52" s="6" t="s">
        <v>46</v>
      </c>
      <c r="D52" s="10"/>
      <c r="E52" s="36">
        <f t="shared" ref="E52:G52" si="51">E20/E$10</f>
        <v>7.3307847987407235E-2</v>
      </c>
      <c r="F52" s="36">
        <f t="shared" si="51"/>
        <v>7.1054925893635573E-2</v>
      </c>
      <c r="G52" s="36">
        <f t="shared" si="51"/>
        <v>6.83868260960772E-2</v>
      </c>
      <c r="H52" s="36">
        <f t="shared" si="28"/>
        <v>6.8257956448911222E-2</v>
      </c>
      <c r="I52" s="36">
        <f t="shared" si="28"/>
        <v>0</v>
      </c>
      <c r="J52" s="36">
        <f t="shared" si="28"/>
        <v>0</v>
      </c>
      <c r="K52" s="36">
        <f t="shared" si="28"/>
        <v>0</v>
      </c>
      <c r="L52" s="36">
        <f t="shared" si="28"/>
        <v>0</v>
      </c>
      <c r="M52" s="36">
        <f t="shared" si="28"/>
        <v>0</v>
      </c>
      <c r="N52" s="36">
        <f t="shared" ref="N52:O52" si="52">N20/N$10</f>
        <v>0</v>
      </c>
      <c r="O52" s="36">
        <f t="shared" si="52"/>
        <v>0</v>
      </c>
      <c r="P52" s="36">
        <f t="shared" ref="P52" si="53">P20/P$10</f>
        <v>0</v>
      </c>
    </row>
    <row r="53" spans="1:16" ht="16.5">
      <c r="A53" s="10"/>
      <c r="B53" s="10"/>
      <c r="C53" s="10"/>
      <c r="D53" s="10" t="s">
        <v>184</v>
      </c>
      <c r="E53" s="36">
        <f t="shared" ref="E53:G53" si="54">E21/E$10</f>
        <v>0.89453564200584668</v>
      </c>
      <c r="F53" s="36">
        <f t="shared" si="54"/>
        <v>0.8622493461203139</v>
      </c>
      <c r="G53" s="36">
        <f t="shared" si="54"/>
        <v>0.83238934340255921</v>
      </c>
      <c r="H53" s="36">
        <f t="shared" si="28"/>
        <v>0.81030150753768848</v>
      </c>
      <c r="I53" s="36">
        <f t="shared" si="28"/>
        <v>0.72071503680336491</v>
      </c>
      <c r="J53" s="36">
        <f t="shared" si="28"/>
        <v>0.73945077026121897</v>
      </c>
      <c r="K53" s="36">
        <f t="shared" si="28"/>
        <v>0.7897005444646098</v>
      </c>
      <c r="L53" s="36">
        <f t="shared" si="28"/>
        <v>0.77931034482758621</v>
      </c>
      <c r="M53" s="36">
        <f t="shared" si="28"/>
        <v>0.70119439868204281</v>
      </c>
      <c r="N53" s="36">
        <f t="shared" ref="N53:O53" si="55">N21/N$10</f>
        <v>0.69548722044728439</v>
      </c>
      <c r="O53" s="36">
        <f t="shared" si="55"/>
        <v>0.65322095123419621</v>
      </c>
      <c r="P53" s="36">
        <f t="shared" ref="P53" si="56">P21/P$10</f>
        <v>0.67494309952410514</v>
      </c>
    </row>
    <row r="54" spans="1:16">
      <c r="A54" s="11"/>
      <c r="B54" s="25" t="s">
        <v>1</v>
      </c>
      <c r="C54" s="3"/>
      <c r="D54" s="11"/>
      <c r="E54" s="34">
        <f t="shared" ref="E54:G54" si="57">E22/E$10</f>
        <v>0.10546435799415337</v>
      </c>
      <c r="F54" s="34">
        <f t="shared" si="57"/>
        <v>0.13775065387968613</v>
      </c>
      <c r="G54" s="34">
        <f t="shared" si="57"/>
        <v>0.16761065659744073</v>
      </c>
      <c r="H54" s="34">
        <f t="shared" si="28"/>
        <v>0.18969849246231155</v>
      </c>
      <c r="I54" s="34">
        <f t="shared" si="28"/>
        <v>0.27928496319663509</v>
      </c>
      <c r="J54" s="34">
        <f t="shared" si="28"/>
        <v>0.26054922973878097</v>
      </c>
      <c r="K54" s="34">
        <f t="shared" si="28"/>
        <v>0.2102994555353902</v>
      </c>
      <c r="L54" s="34">
        <f t="shared" si="28"/>
        <v>0.22068965517241379</v>
      </c>
      <c r="M54" s="34">
        <f t="shared" si="28"/>
        <v>0.29880560131795719</v>
      </c>
      <c r="N54" s="34">
        <f t="shared" ref="N54:O54" si="58">N22/N$10</f>
        <v>0.30451277955271566</v>
      </c>
      <c r="O54" s="34">
        <f t="shared" si="58"/>
        <v>0.34677904876580373</v>
      </c>
      <c r="P54" s="34">
        <f t="shared" ref="P54" si="59">P22/P$10</f>
        <v>0.32505690047589492</v>
      </c>
    </row>
    <row r="55" spans="1:16" ht="16.5">
      <c r="A55" s="12"/>
      <c r="B55" s="2" t="s">
        <v>209</v>
      </c>
      <c r="C55" s="12"/>
      <c r="D55" s="12"/>
      <c r="E55" s="36">
        <f t="shared" ref="E55:G55" si="60">E23/E$10</f>
        <v>5.1720260850011248E-3</v>
      </c>
      <c r="F55" s="36">
        <f t="shared" si="60"/>
        <v>5.4489973844812556E-3</v>
      </c>
      <c r="G55" s="36">
        <f t="shared" si="60"/>
        <v>5.4541640444724145E-3</v>
      </c>
      <c r="H55" s="36">
        <f t="shared" si="28"/>
        <v>3.1407035175879399E-3</v>
      </c>
      <c r="I55" s="36">
        <f t="shared" si="28"/>
        <v>6.3091482649842276E-4</v>
      </c>
      <c r="J55" s="36">
        <f t="shared" si="28"/>
        <v>2.2326412145568208E-4</v>
      </c>
      <c r="K55" s="36">
        <f t="shared" si="28"/>
        <v>2.2686025408348456E-4</v>
      </c>
      <c r="L55" s="36">
        <f t="shared" si="28"/>
        <v>-2.224694104560623E-4</v>
      </c>
      <c r="M55" s="36">
        <f t="shared" si="28"/>
        <v>1.441515650741351E-3</v>
      </c>
      <c r="N55" s="36">
        <f t="shared" ref="N55:O55" si="61">N23/N$10</f>
        <v>1.5974440894568689E-3</v>
      </c>
      <c r="O55" s="36">
        <f t="shared" si="61"/>
        <v>1.2040939193257074E-3</v>
      </c>
      <c r="P55" s="36">
        <f t="shared" ref="P55" si="62">P23/P$10</f>
        <v>2.0691082143596109E-4</v>
      </c>
    </row>
    <row r="56" spans="1:16">
      <c r="A56" s="12"/>
      <c r="B56" s="22" t="s">
        <v>47</v>
      </c>
      <c r="C56" s="4"/>
      <c r="D56" s="12"/>
      <c r="E56" s="35">
        <f t="shared" ref="E56:G56" si="63">E24/E$10</f>
        <v>0.11063638407915449</v>
      </c>
      <c r="F56" s="35">
        <f t="shared" si="63"/>
        <v>0.14319965126416739</v>
      </c>
      <c r="G56" s="35">
        <f t="shared" si="63"/>
        <v>0.17306482064191314</v>
      </c>
      <c r="H56" s="35">
        <f t="shared" si="28"/>
        <v>0.19283919597989949</v>
      </c>
      <c r="I56" s="35">
        <f t="shared" si="28"/>
        <v>0.27991587802313356</v>
      </c>
      <c r="J56" s="35">
        <f t="shared" si="28"/>
        <v>0.26077249386023665</v>
      </c>
      <c r="K56" s="35">
        <f t="shared" si="28"/>
        <v>0.21052631578947367</v>
      </c>
      <c r="L56" s="35">
        <f t="shared" si="28"/>
        <v>0.22046718576195773</v>
      </c>
      <c r="M56" s="35">
        <f t="shared" si="28"/>
        <v>0.30024711696869849</v>
      </c>
      <c r="N56" s="35">
        <f t="shared" ref="N56:O56" si="64">N24/N$10</f>
        <v>0.3061102236421725</v>
      </c>
      <c r="O56" s="35">
        <f t="shared" si="64"/>
        <v>0.34798314268512942</v>
      </c>
      <c r="P56" s="35">
        <f t="shared" ref="P56" si="65">P24/P$10</f>
        <v>0.32526381129733084</v>
      </c>
    </row>
    <row r="57" spans="1:16" ht="16.5">
      <c r="A57" s="12"/>
      <c r="B57" s="2" t="s">
        <v>48</v>
      </c>
      <c r="C57" s="4"/>
      <c r="D57" s="12"/>
      <c r="E57" s="36">
        <f t="shared" ref="E57:G57" si="66">E25/E$10</f>
        <v>1.6640431751742749E-2</v>
      </c>
      <c r="F57" s="36">
        <f t="shared" si="66"/>
        <v>2.5501307759372274E-2</v>
      </c>
      <c r="G57" s="36">
        <f t="shared" si="66"/>
        <v>3.5452066289070695E-2</v>
      </c>
      <c r="H57" s="36">
        <f t="shared" si="28"/>
        <v>3.5175879396984924E-2</v>
      </c>
      <c r="I57" s="36">
        <f t="shared" si="28"/>
        <v>5.1735015772870666E-2</v>
      </c>
      <c r="J57" s="36">
        <f t="shared" si="28"/>
        <v>4.509935253404778E-2</v>
      </c>
      <c r="K57" s="36">
        <f t="shared" si="28"/>
        <v>2.5408348457350273E-2</v>
      </c>
      <c r="L57" s="36">
        <f t="shared" si="28"/>
        <v>2.1579532814238044E-2</v>
      </c>
      <c r="M57" s="36">
        <f t="shared" si="28"/>
        <v>6.3632619439868199E-2</v>
      </c>
      <c r="N57" s="36">
        <f t="shared" ref="N57:O57" si="67">N25/N$10</f>
        <v>6.2300319488817889E-2</v>
      </c>
      <c r="O57" s="36">
        <f t="shared" si="67"/>
        <v>7.505518763796909E-2</v>
      </c>
      <c r="P57" s="36">
        <f t="shared" ref="P57" si="68">P25/P$10</f>
        <v>7.9039933788537145E-2</v>
      </c>
    </row>
    <row r="58" spans="1:16" ht="16.5">
      <c r="A58" s="9"/>
      <c r="B58" s="25" t="s">
        <v>2</v>
      </c>
      <c r="C58" s="9"/>
      <c r="D58" s="9"/>
      <c r="E58" s="37">
        <f t="shared" ref="E58:G58" si="69">E26/E$10</f>
        <v>9.3995952327411744E-2</v>
      </c>
      <c r="F58" s="37">
        <f t="shared" si="69"/>
        <v>0.11769834350479512</v>
      </c>
      <c r="G58" s="37">
        <f t="shared" si="69"/>
        <v>0.13761275435284245</v>
      </c>
      <c r="H58" s="37">
        <f t="shared" si="28"/>
        <v>0.15766331658291458</v>
      </c>
      <c r="I58" s="37">
        <f t="shared" si="28"/>
        <v>0.22818086225026288</v>
      </c>
      <c r="J58" s="37">
        <f t="shared" si="28"/>
        <v>0.21567314132618889</v>
      </c>
      <c r="K58" s="37">
        <f t="shared" si="28"/>
        <v>0.18511796733212341</v>
      </c>
      <c r="L58" s="37">
        <f t="shared" si="28"/>
        <v>0.19888765294771968</v>
      </c>
      <c r="M58" s="37">
        <f t="shared" si="28"/>
        <v>0.23661449752883032</v>
      </c>
      <c r="N58" s="37">
        <f t="shared" ref="N58:O58" si="70">N26/N$10</f>
        <v>0.24380990415335463</v>
      </c>
      <c r="O58" s="37">
        <f t="shared" si="70"/>
        <v>0.27292795504716033</v>
      </c>
      <c r="P58" s="37">
        <f t="shared" ref="P58" si="71">P26/P$10</f>
        <v>0.24622387750879371</v>
      </c>
    </row>
    <row r="59" spans="1:16" ht="16.5">
      <c r="A59" s="9"/>
      <c r="B59" s="25"/>
      <c r="C59" s="9"/>
      <c r="D59" s="9"/>
      <c r="E59" s="37"/>
      <c r="F59" s="37"/>
      <c r="G59" s="37"/>
      <c r="H59" s="37"/>
      <c r="I59" s="37"/>
      <c r="J59" s="37"/>
      <c r="K59" s="37"/>
      <c r="L59" s="37"/>
      <c r="M59" s="37"/>
      <c r="N59" s="37"/>
      <c r="O59" s="37"/>
      <c r="P59" s="37"/>
    </row>
    <row r="60" spans="1:16" ht="16.5">
      <c r="A60" s="27"/>
      <c r="B60" s="5" t="s">
        <v>202</v>
      </c>
      <c r="C60" s="9"/>
      <c r="D60" s="9"/>
      <c r="E60" s="37"/>
      <c r="F60" s="37"/>
      <c r="G60" s="37"/>
      <c r="H60" s="37"/>
      <c r="I60" s="37"/>
      <c r="J60" s="37"/>
      <c r="K60" s="37"/>
      <c r="L60" s="37"/>
      <c r="M60" s="37"/>
      <c r="N60" s="37"/>
      <c r="O60" s="37"/>
      <c r="P60" s="37"/>
    </row>
    <row r="61" spans="1:16">
      <c r="A61" s="20" t="s">
        <v>27</v>
      </c>
      <c r="B61" s="23"/>
      <c r="C61" s="24"/>
      <c r="D61" s="23"/>
    </row>
    <row r="62" spans="1:16">
      <c r="A62" s="20"/>
      <c r="B62" s="23"/>
      <c r="C62" s="24"/>
      <c r="D62" s="23"/>
    </row>
    <row r="63" spans="1:16" ht="14.25" customHeight="1">
      <c r="A63" s="23"/>
      <c r="B63" s="24"/>
      <c r="C63" s="24"/>
      <c r="D63" s="23"/>
      <c r="E63" s="19" t="str">
        <f t="shared" ref="E63:G63" si="72">E6</f>
        <v>Q4</v>
      </c>
      <c r="F63" s="19" t="str">
        <f t="shared" si="72"/>
        <v>Q1</v>
      </c>
      <c r="G63" s="19" t="str">
        <f t="shared" si="72"/>
        <v>Q2</v>
      </c>
      <c r="H63" s="19" t="str">
        <f t="shared" ref="H63:I63" si="73">H6</f>
        <v>Q3</v>
      </c>
      <c r="I63" s="19" t="str">
        <f t="shared" si="73"/>
        <v>Q4</v>
      </c>
      <c r="J63" s="19" t="str">
        <f t="shared" ref="J63:K63" si="74">J6</f>
        <v>Q1</v>
      </c>
      <c r="K63" s="19" t="str">
        <f t="shared" si="74"/>
        <v>Q2</v>
      </c>
      <c r="L63" s="19" t="str">
        <f t="shared" ref="L63:M63" si="75">L6</f>
        <v>Q3</v>
      </c>
      <c r="M63" s="19" t="str">
        <f t="shared" si="75"/>
        <v>Q4</v>
      </c>
      <c r="N63" s="19" t="str">
        <f t="shared" ref="N63:O63" si="76">N6</f>
        <v>Q1</v>
      </c>
      <c r="O63" s="19" t="str">
        <f t="shared" si="76"/>
        <v>Q2</v>
      </c>
      <c r="P63" s="19" t="str">
        <f t="shared" ref="P63" si="77">P6</f>
        <v>Q3</v>
      </c>
    </row>
    <row r="64" spans="1:16" ht="14.25" customHeight="1">
      <c r="A64" s="23"/>
      <c r="B64" s="24"/>
      <c r="C64" s="24"/>
      <c r="D64" s="23"/>
      <c r="E64" s="19" t="s">
        <v>40</v>
      </c>
      <c r="F64" s="19" t="s">
        <v>41</v>
      </c>
      <c r="G64" s="19" t="str">
        <f>G7</f>
        <v>CY11</v>
      </c>
      <c r="H64" s="19" t="str">
        <f t="shared" ref="H64:I64" si="78">H7</f>
        <v>CY11</v>
      </c>
      <c r="I64" s="19" t="str">
        <f t="shared" si="78"/>
        <v>CY11</v>
      </c>
      <c r="J64" s="19" t="str">
        <f t="shared" ref="J64:K64" si="79">J7</f>
        <v>CY12</v>
      </c>
      <c r="K64" s="19" t="str">
        <f t="shared" si="79"/>
        <v>CY12</v>
      </c>
      <c r="L64" s="19" t="str">
        <f t="shared" ref="L64:M64" si="80">L7</f>
        <v>CY12</v>
      </c>
      <c r="M64" s="19" t="str">
        <f t="shared" si="80"/>
        <v>CY12</v>
      </c>
      <c r="N64" s="19" t="str">
        <f t="shared" ref="N64:O64" si="81">N7</f>
        <v>CY13</v>
      </c>
      <c r="O64" s="19" t="str">
        <f t="shared" si="81"/>
        <v>CY13</v>
      </c>
      <c r="P64" s="19" t="str">
        <f t="shared" ref="P64" si="82">P7</f>
        <v>CY13</v>
      </c>
    </row>
    <row r="65" spans="1:16">
      <c r="A65" s="23"/>
      <c r="B65" s="26"/>
      <c r="C65" s="26"/>
      <c r="D65" s="23"/>
      <c r="E65" s="41" t="s">
        <v>198</v>
      </c>
      <c r="F65" s="41" t="s">
        <v>198</v>
      </c>
      <c r="G65" s="41" t="str">
        <f>G8</f>
        <v>TTM</v>
      </c>
      <c r="H65" s="41" t="str">
        <f t="shared" ref="H65:I65" si="83">H8</f>
        <v>TTM</v>
      </c>
      <c r="I65" s="41" t="str">
        <f t="shared" si="83"/>
        <v>TTM</v>
      </c>
      <c r="J65" s="41" t="str">
        <f t="shared" ref="J65:K65" si="84">J8</f>
        <v>TTM</v>
      </c>
      <c r="K65" s="41" t="str">
        <f t="shared" si="84"/>
        <v>TTM</v>
      </c>
      <c r="L65" s="41" t="str">
        <f t="shared" ref="L65:M65" si="85">L8</f>
        <v>TTM</v>
      </c>
      <c r="M65" s="41" t="str">
        <f t="shared" si="85"/>
        <v>TTM</v>
      </c>
      <c r="N65" s="41" t="str">
        <f t="shared" ref="N65:O65" si="86">N8</f>
        <v>TTM</v>
      </c>
      <c r="O65" s="41" t="str">
        <f t="shared" si="86"/>
        <v>TTM</v>
      </c>
      <c r="P65" s="41" t="str">
        <f t="shared" ref="P65" si="87">P8</f>
        <v>TTM</v>
      </c>
    </row>
    <row r="66" spans="1:16" ht="7.5" customHeight="1">
      <c r="A66" s="21"/>
      <c r="B66" s="21"/>
      <c r="C66" s="21"/>
      <c r="D66" s="21"/>
      <c r="E66" s="356"/>
      <c r="F66" s="356"/>
      <c r="G66" s="357"/>
      <c r="H66" s="357"/>
      <c r="I66" s="357"/>
      <c r="J66" s="357"/>
      <c r="K66" s="357"/>
      <c r="L66" s="357"/>
      <c r="M66" s="357"/>
      <c r="N66" s="357"/>
      <c r="O66" s="357"/>
      <c r="P66" s="357"/>
    </row>
    <row r="67" spans="1:16">
      <c r="A67" s="8"/>
      <c r="B67" s="1" t="s">
        <v>186</v>
      </c>
      <c r="C67" s="9"/>
      <c r="D67" s="8"/>
      <c r="E67" s="13">
        <v>4803</v>
      </c>
      <c r="F67" s="13">
        <v>4843</v>
      </c>
      <c r="G67" s="13">
        <v>4859</v>
      </c>
      <c r="H67" s="13">
        <v>4629</v>
      </c>
      <c r="I67" s="13">
        <v>4489</v>
      </c>
      <c r="J67" s="13">
        <f>SUM('QTD P&amp;L'!G62:J62)</f>
        <v>4321</v>
      </c>
      <c r="K67" s="13">
        <f>SUM('QTD P&amp;L'!H62:K62)</f>
        <v>4676</v>
      </c>
      <c r="L67" s="13">
        <f>SUM('QTD P&amp;L'!I62:L62)</f>
        <v>4800</v>
      </c>
      <c r="M67" s="13">
        <v>4987</v>
      </c>
      <c r="N67" s="13">
        <f>SUM('QTD P&amp;L'!K62:N62)</f>
        <v>5204</v>
      </c>
      <c r="O67" s="13">
        <f>SUM('QTD P&amp;L'!L62:O62)</f>
        <v>4758</v>
      </c>
      <c r="P67" s="13">
        <f>SUM('QTD P&amp;L'!M62:P62)</f>
        <v>4664</v>
      </c>
    </row>
    <row r="68" spans="1:16">
      <c r="A68" s="8"/>
      <c r="B68" s="1" t="s">
        <v>185</v>
      </c>
      <c r="C68" s="9"/>
      <c r="D68" s="8"/>
      <c r="E68" s="339"/>
      <c r="F68" s="339"/>
      <c r="G68" s="339"/>
      <c r="H68" s="13"/>
      <c r="I68" s="13"/>
      <c r="J68" s="13"/>
      <c r="K68" s="13"/>
      <c r="L68" s="13"/>
      <c r="M68" s="13"/>
      <c r="N68" s="13"/>
      <c r="O68" s="13"/>
      <c r="P68" s="13"/>
    </row>
    <row r="69" spans="1:16" s="43" customFormat="1">
      <c r="A69" s="10"/>
      <c r="B69" s="2"/>
      <c r="C69" s="2" t="s">
        <v>196</v>
      </c>
      <c r="D69" s="10"/>
      <c r="E69" s="42">
        <v>1348</v>
      </c>
      <c r="F69" s="42">
        <v>1312</v>
      </c>
      <c r="G69" s="42">
        <v>1281</v>
      </c>
      <c r="H69" s="42">
        <v>1213</v>
      </c>
      <c r="I69" s="42">
        <v>1121</v>
      </c>
      <c r="J69" s="42">
        <f>SUM('QTD P&amp;L'!G64:J64)</f>
        <v>1091</v>
      </c>
      <c r="K69" s="42">
        <f>SUM('QTD P&amp;L'!H64:K64)</f>
        <v>1124</v>
      </c>
      <c r="L69" s="42">
        <f>SUM('QTD P&amp;L'!I64:L64)</f>
        <v>1137</v>
      </c>
      <c r="M69" s="42">
        <v>1116</v>
      </c>
      <c r="N69" s="42">
        <f>SUM('QTD P&amp;L'!K64:N64)</f>
        <v>1123</v>
      </c>
      <c r="O69" s="42">
        <f>SUM('QTD P&amp;L'!L64:O64)</f>
        <v>1057</v>
      </c>
      <c r="P69" s="42">
        <f>SUM('QTD P&amp;L'!M64:P64)</f>
        <v>1028</v>
      </c>
    </row>
    <row r="70" spans="1:16" s="43" customFormat="1">
      <c r="A70" s="10"/>
      <c r="B70" s="2"/>
      <c r="C70" s="2" t="s">
        <v>213</v>
      </c>
      <c r="D70" s="10"/>
      <c r="E70" s="42">
        <v>250</v>
      </c>
      <c r="F70" s="42">
        <v>261</v>
      </c>
      <c r="G70" s="42">
        <v>268</v>
      </c>
      <c r="H70" s="42">
        <v>267</v>
      </c>
      <c r="I70" s="42">
        <f>238+17</f>
        <v>255</v>
      </c>
      <c r="J70" s="42">
        <f>SUM('QTD P&amp;L'!G65:J65)</f>
        <v>259</v>
      </c>
      <c r="K70" s="42">
        <f>SUM('QTD P&amp;L'!H65:K65)</f>
        <v>268</v>
      </c>
      <c r="L70" s="42">
        <f>SUM('QTD P&amp;L'!I65:L65)</f>
        <v>267</v>
      </c>
      <c r="M70" s="42">
        <f>232+32</f>
        <v>264</v>
      </c>
      <c r="N70" s="42">
        <f>SUM('QTD P&amp;L'!K65:N65)</f>
        <v>250</v>
      </c>
      <c r="O70" s="42">
        <f>SUM('QTD P&amp;L'!L65:O65)</f>
        <v>233</v>
      </c>
      <c r="P70" s="42">
        <f>SUM('QTD P&amp;L'!M65:P65)</f>
        <v>214</v>
      </c>
    </row>
    <row r="71" spans="1:16" s="43" customFormat="1">
      <c r="A71" s="10"/>
      <c r="B71" s="2"/>
      <c r="C71" s="2" t="s">
        <v>194</v>
      </c>
      <c r="D71" s="10"/>
      <c r="E71" s="42">
        <v>287</v>
      </c>
      <c r="F71" s="42">
        <v>273</v>
      </c>
      <c r="G71" s="42">
        <v>233</v>
      </c>
      <c r="H71" s="42">
        <v>194</v>
      </c>
      <c r="I71" s="42">
        <v>159</v>
      </c>
      <c r="J71" s="42">
        <f>SUM('QTD P&amp;L'!G66:J66)</f>
        <v>155</v>
      </c>
      <c r="K71" s="42">
        <f>SUM('QTD P&amp;L'!H66:K66)</f>
        <v>197</v>
      </c>
      <c r="L71" s="42">
        <f>SUM('QTD P&amp;L'!I66:L66)</f>
        <v>224</v>
      </c>
      <c r="M71" s="42">
        <v>221</v>
      </c>
      <c r="N71" s="42">
        <f>SUM('QTD P&amp;L'!K66:N66)</f>
        <v>233</v>
      </c>
      <c r="O71" s="42">
        <f>SUM('QTD P&amp;L'!L66:O66)</f>
        <v>188</v>
      </c>
      <c r="P71" s="42">
        <f>SUM('QTD P&amp;L'!M66:P66)</f>
        <v>159</v>
      </c>
    </row>
    <row r="72" spans="1:16" s="43" customFormat="1">
      <c r="A72" s="10"/>
      <c r="B72" s="2"/>
      <c r="C72" s="2" t="s">
        <v>195</v>
      </c>
      <c r="D72" s="10"/>
      <c r="E72" s="42">
        <v>100</v>
      </c>
      <c r="F72" s="42">
        <v>90</v>
      </c>
      <c r="G72" s="42">
        <v>84</v>
      </c>
      <c r="H72" s="42">
        <v>66</v>
      </c>
      <c r="I72" s="42">
        <v>72</v>
      </c>
      <c r="J72" s="42">
        <f>SUM('QTD P&amp;L'!G67:J67)</f>
        <v>67</v>
      </c>
      <c r="K72" s="42">
        <f>SUM('QTD P&amp;L'!H67:K67)</f>
        <v>73</v>
      </c>
      <c r="L72" s="42">
        <f>SUM('QTD P&amp;L'!I67:L67)</f>
        <v>75</v>
      </c>
      <c r="M72" s="42">
        <v>62</v>
      </c>
      <c r="N72" s="42">
        <f>SUM('QTD P&amp;L'!K67:N67)</f>
        <v>91</v>
      </c>
      <c r="O72" s="42">
        <f>SUM('QTD P&amp;L'!L67:O67)</f>
        <v>83</v>
      </c>
      <c r="P72" s="42">
        <f>SUM('QTD P&amp;L'!M67:P67)</f>
        <v>76</v>
      </c>
    </row>
    <row r="73" spans="1:16">
      <c r="A73" s="10"/>
      <c r="B73" s="10"/>
      <c r="C73" s="6" t="s">
        <v>42</v>
      </c>
      <c r="D73" s="10"/>
      <c r="E73" s="15">
        <v>614</v>
      </c>
      <c r="F73" s="15">
        <v>607</v>
      </c>
      <c r="G73" s="15">
        <v>612</v>
      </c>
      <c r="H73" s="15">
        <v>627</v>
      </c>
      <c r="I73" s="15">
        <f>606-17</f>
        <v>589</v>
      </c>
      <c r="J73" s="15">
        <f>SUM('QTD P&amp;L'!G68:J68)</f>
        <v>566</v>
      </c>
      <c r="K73" s="15">
        <f>SUM('QTD P&amp;L'!H68:K68)</f>
        <v>598</v>
      </c>
      <c r="L73" s="15">
        <f>SUM('QTD P&amp;L'!I68:L68)</f>
        <v>594</v>
      </c>
      <c r="M73" s="15">
        <f>616-32</f>
        <v>584</v>
      </c>
      <c r="N73" s="15">
        <f>SUM('QTD P&amp;L'!K68:N68)</f>
        <v>594</v>
      </c>
      <c r="O73" s="15">
        <f>SUM('QTD P&amp;L'!L68:O68)</f>
        <v>570</v>
      </c>
      <c r="P73" s="15">
        <f>SUM('QTD P&amp;L'!M68:P68)</f>
        <v>581</v>
      </c>
    </row>
    <row r="74" spans="1:16">
      <c r="A74" s="10"/>
      <c r="B74" s="10"/>
      <c r="C74" s="6" t="s">
        <v>43</v>
      </c>
      <c r="D74" s="10"/>
      <c r="E74" s="15">
        <v>508</v>
      </c>
      <c r="F74" s="15">
        <v>513</v>
      </c>
      <c r="G74" s="15">
        <v>482</v>
      </c>
      <c r="H74" s="15">
        <v>487</v>
      </c>
      <c r="I74" s="15">
        <v>539</v>
      </c>
      <c r="J74" s="15">
        <f>SUM('QTD P&amp;L'!G69:J69)</f>
        <v>561</v>
      </c>
      <c r="K74" s="15">
        <f>SUM('QTD P&amp;L'!H69:K69)</f>
        <v>604</v>
      </c>
      <c r="L74" s="15">
        <f>SUM('QTD P&amp;L'!I69:L69)</f>
        <v>620</v>
      </c>
      <c r="M74" s="15">
        <v>570</v>
      </c>
      <c r="N74" s="15">
        <f>SUM('QTD P&amp;L'!K69:N69)</f>
        <v>599</v>
      </c>
      <c r="O74" s="15">
        <f>SUM('QTD P&amp;L'!L69:O69)</f>
        <v>578</v>
      </c>
      <c r="P74" s="15">
        <f>SUM('QTD P&amp;L'!M69:P69)</f>
        <v>591</v>
      </c>
    </row>
    <row r="75" spans="1:16" ht="16.5">
      <c r="A75" s="10"/>
      <c r="B75" s="10"/>
      <c r="C75" s="6" t="s">
        <v>44</v>
      </c>
      <c r="D75" s="10"/>
      <c r="E75" s="16">
        <v>325</v>
      </c>
      <c r="F75" s="16">
        <v>363</v>
      </c>
      <c r="G75" s="16">
        <v>411</v>
      </c>
      <c r="H75" s="16">
        <v>406</v>
      </c>
      <c r="I75" s="16">
        <v>396</v>
      </c>
      <c r="J75" s="16">
        <f>SUM('QTD P&amp;L'!G70:J70)</f>
        <v>392</v>
      </c>
      <c r="K75" s="16">
        <f>SUM('QTD P&amp;L'!H70:K70)</f>
        <v>447</v>
      </c>
      <c r="L75" s="16">
        <f>SUM('QTD P&amp;L'!I70:L70)</f>
        <v>449</v>
      </c>
      <c r="M75" s="16">
        <v>472</v>
      </c>
      <c r="N75" s="16">
        <f>SUM('QTD P&amp;L'!K70:N70)</f>
        <v>459</v>
      </c>
      <c r="O75" s="16">
        <f>SUM('QTD P&amp;L'!L70:O70)</f>
        <v>375</v>
      </c>
      <c r="P75" s="16">
        <f>SUM('QTD P&amp;L'!M70:P70)</f>
        <v>367</v>
      </c>
    </row>
    <row r="76" spans="1:16" ht="16.5">
      <c r="A76" s="10"/>
      <c r="B76" s="10"/>
      <c r="C76" s="10"/>
      <c r="D76" s="10" t="s">
        <v>184</v>
      </c>
      <c r="E76" s="16">
        <f t="shared" ref="E76:F76" si="88">SUM(E69:E75)</f>
        <v>3432</v>
      </c>
      <c r="F76" s="16">
        <f t="shared" si="88"/>
        <v>3419</v>
      </c>
      <c r="G76" s="16">
        <f t="shared" ref="G76" si="89">SUM(G69:G75)</f>
        <v>3371</v>
      </c>
      <c r="H76" s="16">
        <f t="shared" ref="H76:M76" si="90">SUM(H69:H75)</f>
        <v>3260</v>
      </c>
      <c r="I76" s="16">
        <f t="shared" si="90"/>
        <v>3131</v>
      </c>
      <c r="J76" s="16">
        <f t="shared" si="90"/>
        <v>3091</v>
      </c>
      <c r="K76" s="16">
        <f t="shared" si="90"/>
        <v>3311</v>
      </c>
      <c r="L76" s="16">
        <f t="shared" si="90"/>
        <v>3366</v>
      </c>
      <c r="M76" s="16">
        <f t="shared" si="90"/>
        <v>3289</v>
      </c>
      <c r="N76" s="16">
        <f t="shared" ref="N76:O76" si="91">SUM(N69:N75)</f>
        <v>3349</v>
      </c>
      <c r="O76" s="16">
        <f t="shared" si="91"/>
        <v>3084</v>
      </c>
      <c r="P76" s="16">
        <f t="shared" ref="P76" si="92">SUM(P69:P75)</f>
        <v>3016</v>
      </c>
    </row>
    <row r="77" spans="1:16">
      <c r="A77" s="11"/>
      <c r="B77" s="25" t="s">
        <v>1</v>
      </c>
      <c r="C77" s="3"/>
      <c r="D77" s="11"/>
      <c r="E77" s="14">
        <f t="shared" ref="E77:G77" si="93">E67-E76</f>
        <v>1371</v>
      </c>
      <c r="F77" s="14">
        <f t="shared" si="93"/>
        <v>1424</v>
      </c>
      <c r="G77" s="14">
        <f t="shared" si="93"/>
        <v>1488</v>
      </c>
      <c r="H77" s="14">
        <f t="shared" ref="H77:M77" si="94">H67-H76</f>
        <v>1369</v>
      </c>
      <c r="I77" s="14">
        <f t="shared" si="94"/>
        <v>1358</v>
      </c>
      <c r="J77" s="14">
        <f t="shared" si="94"/>
        <v>1230</v>
      </c>
      <c r="K77" s="14">
        <f t="shared" si="94"/>
        <v>1365</v>
      </c>
      <c r="L77" s="14">
        <f t="shared" si="94"/>
        <v>1434</v>
      </c>
      <c r="M77" s="14">
        <f t="shared" si="94"/>
        <v>1698</v>
      </c>
      <c r="N77" s="14">
        <f t="shared" ref="N77:O77" si="95">N67-N76</f>
        <v>1855</v>
      </c>
      <c r="O77" s="14">
        <f t="shared" si="95"/>
        <v>1674</v>
      </c>
      <c r="P77" s="14">
        <f t="shared" ref="P77" si="96">P67-P76</f>
        <v>1648</v>
      </c>
    </row>
    <row r="78" spans="1:16" ht="16.5">
      <c r="A78" s="12"/>
      <c r="B78" s="2" t="s">
        <v>209</v>
      </c>
      <c r="C78" s="12"/>
      <c r="D78" s="12"/>
      <c r="E78" s="16">
        <v>23</v>
      </c>
      <c r="F78" s="16">
        <v>25</v>
      </c>
      <c r="G78" s="16">
        <v>26</v>
      </c>
      <c r="H78" s="16">
        <v>15</v>
      </c>
      <c r="I78" s="16">
        <v>3</v>
      </c>
      <c r="J78" s="16">
        <f>SUM('QTD P&amp;L'!G73:J73)</f>
        <v>1</v>
      </c>
      <c r="K78" s="16">
        <f>SUM('QTD P&amp;L'!H73:K73)</f>
        <v>1</v>
      </c>
      <c r="L78" s="16">
        <f>SUM('QTD P&amp;L'!I73:L73)</f>
        <v>-1</v>
      </c>
      <c r="M78" s="16">
        <v>7</v>
      </c>
      <c r="N78" s="16">
        <f>SUM('QTD P&amp;L'!K73:N73)</f>
        <v>8</v>
      </c>
      <c r="O78" s="16">
        <f>SUM('QTD P&amp;L'!L73:O73)</f>
        <v>6</v>
      </c>
      <c r="P78" s="16">
        <f>SUM('QTD P&amp;L'!M73:P73)</f>
        <v>1</v>
      </c>
    </row>
    <row r="79" spans="1:16">
      <c r="A79" s="12"/>
      <c r="B79" s="22" t="s">
        <v>47</v>
      </c>
      <c r="C79" s="4"/>
      <c r="D79" s="12"/>
      <c r="E79" s="15">
        <f t="shared" ref="E79:F79" si="97">SUM(E77:E78)</f>
        <v>1394</v>
      </c>
      <c r="F79" s="15">
        <f t="shared" si="97"/>
        <v>1449</v>
      </c>
      <c r="G79" s="15">
        <f t="shared" ref="G79" si="98">SUM(G77:G78)</f>
        <v>1514</v>
      </c>
      <c r="H79" s="15">
        <f t="shared" ref="H79:M79" si="99">SUM(H77:H78)</f>
        <v>1384</v>
      </c>
      <c r="I79" s="15">
        <f t="shared" si="99"/>
        <v>1361</v>
      </c>
      <c r="J79" s="15">
        <f t="shared" si="99"/>
        <v>1231</v>
      </c>
      <c r="K79" s="15">
        <f t="shared" si="99"/>
        <v>1366</v>
      </c>
      <c r="L79" s="15">
        <f t="shared" si="99"/>
        <v>1433</v>
      </c>
      <c r="M79" s="15">
        <f t="shared" si="99"/>
        <v>1705</v>
      </c>
      <c r="N79" s="15">
        <f t="shared" ref="N79:O79" si="100">SUM(N77:N78)</f>
        <v>1863</v>
      </c>
      <c r="O79" s="15">
        <f t="shared" si="100"/>
        <v>1680</v>
      </c>
      <c r="P79" s="15">
        <f t="shared" ref="P79" si="101">SUM(P77:P78)</f>
        <v>1649</v>
      </c>
    </row>
    <row r="80" spans="1:16" ht="16.5">
      <c r="A80" s="12"/>
      <c r="B80" s="2" t="s">
        <v>48</v>
      </c>
      <c r="C80" s="4"/>
      <c r="D80" s="12"/>
      <c r="E80" s="16">
        <v>403</v>
      </c>
      <c r="F80" s="16">
        <v>418</v>
      </c>
      <c r="G80" s="16">
        <v>437</v>
      </c>
      <c r="H80" s="16">
        <v>368</v>
      </c>
      <c r="I80" s="16">
        <v>274</v>
      </c>
      <c r="J80" s="16">
        <f>SUM('QTD P&amp;L'!G75:J75)</f>
        <v>234</v>
      </c>
      <c r="K80" s="16">
        <f>SUM('QTD P&amp;L'!H75:K75)</f>
        <v>263</v>
      </c>
      <c r="L80" s="16">
        <f>SUM('QTD P&amp;L'!I75:L75)</f>
        <v>249</v>
      </c>
      <c r="M80" s="16">
        <v>355</v>
      </c>
      <c r="N80" s="16">
        <f>SUM('QTD P&amp;L'!K75:N75)</f>
        <v>381</v>
      </c>
      <c r="O80" s="16">
        <f>SUM('QTD P&amp;L'!L75:O75)</f>
        <v>332</v>
      </c>
      <c r="P80" s="16">
        <f>SUM('QTD P&amp;L'!M75:P75)</f>
        <v>379</v>
      </c>
    </row>
    <row r="81" spans="1:19" ht="16.5">
      <c r="A81" s="9"/>
      <c r="B81" s="25" t="s">
        <v>2</v>
      </c>
      <c r="C81" s="9"/>
      <c r="D81" s="9"/>
      <c r="E81" s="17">
        <f t="shared" ref="E81:G81" si="102">E79-E80</f>
        <v>991</v>
      </c>
      <c r="F81" s="17">
        <f t="shared" si="102"/>
        <v>1031</v>
      </c>
      <c r="G81" s="17">
        <f t="shared" si="102"/>
        <v>1077</v>
      </c>
      <c r="H81" s="17">
        <f t="shared" ref="H81:I81" si="103">H79-H80</f>
        <v>1016</v>
      </c>
      <c r="I81" s="17">
        <f t="shared" si="103"/>
        <v>1087</v>
      </c>
      <c r="J81" s="17">
        <f t="shared" ref="J81:K81" si="104">J79-J80</f>
        <v>997</v>
      </c>
      <c r="K81" s="17">
        <f t="shared" si="104"/>
        <v>1103</v>
      </c>
      <c r="L81" s="17">
        <f>L79-L80</f>
        <v>1184</v>
      </c>
      <c r="M81" s="17">
        <f>M79-M80</f>
        <v>1350</v>
      </c>
      <c r="N81" s="17">
        <f>N79-N80</f>
        <v>1482</v>
      </c>
      <c r="O81" s="17">
        <f>O79-O80</f>
        <v>1348</v>
      </c>
      <c r="P81" s="17">
        <f>P79-P80</f>
        <v>1270</v>
      </c>
      <c r="R81" s="399"/>
    </row>
    <row r="82" spans="1:19" ht="39" customHeight="1">
      <c r="A82" s="10"/>
      <c r="B82" s="431" t="s">
        <v>247</v>
      </c>
      <c r="C82" s="431"/>
      <c r="D82" s="431"/>
      <c r="E82" s="391">
        <v>982</v>
      </c>
      <c r="F82" s="390">
        <v>1019</v>
      </c>
      <c r="G82" s="390">
        <v>1064</v>
      </c>
      <c r="H82" s="390">
        <v>1003</v>
      </c>
      <c r="I82" s="391">
        <v>1071</v>
      </c>
      <c r="J82" s="390">
        <f>SUM('QTD P&amp;L'!G77:J77)</f>
        <v>982</v>
      </c>
      <c r="K82" s="390">
        <f>SUM('QTD P&amp;L'!H77:K77)</f>
        <v>1085</v>
      </c>
      <c r="L82" s="390">
        <f>SUM('QTD P&amp;L'!I77:L77)</f>
        <v>1163</v>
      </c>
      <c r="M82" s="391">
        <v>1322</v>
      </c>
      <c r="N82" s="390">
        <f>SUM('QTD P&amp;L'!K77:N77)</f>
        <v>1451</v>
      </c>
      <c r="O82" s="390">
        <f>SUM('QTD P&amp;L'!L77:O77)</f>
        <v>1319</v>
      </c>
      <c r="P82" s="390">
        <f>SUM('QTD P&amp;L'!M77:P77)</f>
        <v>1243</v>
      </c>
      <c r="Q82" s="268"/>
      <c r="R82" s="268"/>
      <c r="S82" s="268"/>
    </row>
    <row r="83" spans="1:19" ht="9.75" customHeight="1">
      <c r="A83" s="9"/>
      <c r="B83" s="25"/>
      <c r="C83" s="9"/>
      <c r="D83" s="9"/>
      <c r="E83" s="340"/>
      <c r="F83" s="340"/>
      <c r="G83" s="340"/>
      <c r="H83" s="17"/>
      <c r="I83" s="17"/>
      <c r="J83" s="17"/>
      <c r="K83" s="17"/>
      <c r="L83" s="17"/>
      <c r="M83" s="17"/>
      <c r="N83" s="17"/>
      <c r="O83" s="17"/>
      <c r="P83" s="17"/>
    </row>
    <row r="84" spans="1:19" s="46" customFormat="1">
      <c r="A84" s="54"/>
      <c r="B84" s="55" t="s">
        <v>139</v>
      </c>
      <c r="C84" s="55"/>
      <c r="D84" s="55"/>
      <c r="E84" s="341"/>
      <c r="F84" s="341"/>
      <c r="G84" s="341"/>
      <c r="H84" s="56"/>
      <c r="I84" s="56"/>
      <c r="J84" s="56"/>
      <c r="K84" s="56"/>
      <c r="L84" s="56"/>
      <c r="M84" s="56"/>
      <c r="N84" s="56"/>
      <c r="O84" s="56"/>
      <c r="P84" s="56"/>
    </row>
    <row r="85" spans="1:19" s="46" customFormat="1">
      <c r="A85" s="54"/>
      <c r="B85" s="55"/>
      <c r="C85" s="334" t="s">
        <v>32</v>
      </c>
      <c r="D85" s="55"/>
      <c r="E85" s="58">
        <v>0.81</v>
      </c>
      <c r="F85" s="58">
        <v>0.85</v>
      </c>
      <c r="G85" s="58">
        <v>0.89</v>
      </c>
      <c r="H85" s="58">
        <v>0.84000000000000008</v>
      </c>
      <c r="I85" s="58">
        <f>SUM('QTD P&amp;L'!F80:I80)</f>
        <v>0.93</v>
      </c>
      <c r="J85" s="58">
        <f>SUM('QTD P&amp;L'!G80:J80)</f>
        <v>0.8600000000000001</v>
      </c>
      <c r="K85" s="58">
        <f>SUM('QTD P&amp;L'!H80:K80)</f>
        <v>0.96</v>
      </c>
      <c r="L85" s="58">
        <f>SUM('QTD P&amp;L'!I80:L80)</f>
        <v>1.0399999999999998</v>
      </c>
      <c r="M85" s="58">
        <v>1.19</v>
      </c>
      <c r="N85" s="58">
        <f>SUM('QTD P&amp;L'!K80:N80)</f>
        <v>1.2999999999999998</v>
      </c>
      <c r="O85" s="58">
        <f>SUM('QTD P&amp;L'!L80:O80)</f>
        <v>1.1800000000000002</v>
      </c>
      <c r="P85" s="58">
        <f>SUM('QTD P&amp;L'!M80:P80)</f>
        <v>1.1100000000000001</v>
      </c>
    </row>
    <row r="86" spans="1:19" s="46" customFormat="1">
      <c r="A86" s="54"/>
      <c r="B86" s="55"/>
      <c r="C86" s="334" t="s">
        <v>33</v>
      </c>
      <c r="D86" s="55"/>
      <c r="E86" s="58">
        <v>0.79</v>
      </c>
      <c r="F86" s="58">
        <v>0.84</v>
      </c>
      <c r="G86" s="58">
        <v>0.88</v>
      </c>
      <c r="H86" s="58">
        <v>0.83000000000000007</v>
      </c>
      <c r="I86" s="58">
        <v>0.93</v>
      </c>
      <c r="J86" s="58">
        <f>SUM('QTD P&amp;L'!G81:J81)</f>
        <v>0.85000000000000009</v>
      </c>
      <c r="K86" s="58">
        <f>SUM('QTD P&amp;L'!H81:K81)</f>
        <v>0.95</v>
      </c>
      <c r="L86" s="58">
        <f>SUM('QTD P&amp;L'!I81:L81)</f>
        <v>1.0299999999999998</v>
      </c>
      <c r="M86" s="58">
        <v>1.18</v>
      </c>
      <c r="N86" s="58">
        <f>SUM('QTD P&amp;L'!K81:N81)</f>
        <v>1.2999999999999998</v>
      </c>
      <c r="O86" s="58">
        <f>SUM('QTD P&amp;L'!L81:O81)</f>
        <v>1.1800000000000002</v>
      </c>
      <c r="P86" s="58">
        <f>SUM('QTD P&amp;L'!M81:P81)</f>
        <v>1.1100000000000001</v>
      </c>
    </row>
    <row r="87" spans="1:19" s="46" customFormat="1">
      <c r="A87" s="54"/>
      <c r="B87" s="55"/>
      <c r="C87" s="57"/>
      <c r="D87" s="55"/>
      <c r="E87" s="62"/>
      <c r="F87" s="62"/>
      <c r="G87" s="315"/>
      <c r="H87" s="315"/>
      <c r="I87" s="315"/>
      <c r="J87" s="315"/>
      <c r="K87" s="315"/>
      <c r="L87" s="315"/>
      <c r="M87" s="315"/>
      <c r="N87" s="315"/>
      <c r="O87" s="315"/>
      <c r="P87" s="315"/>
    </row>
    <row r="88" spans="1:19">
      <c r="A88" s="20" t="s">
        <v>295</v>
      </c>
      <c r="B88" s="29"/>
      <c r="C88" s="18"/>
      <c r="D88" s="29"/>
      <c r="E88" s="33"/>
      <c r="F88" s="33"/>
      <c r="G88" s="316"/>
      <c r="H88" s="316"/>
      <c r="I88" s="316"/>
      <c r="J88" s="316"/>
      <c r="K88" s="316"/>
      <c r="L88" s="316"/>
      <c r="M88" s="316"/>
      <c r="N88" s="316"/>
      <c r="O88" s="316"/>
      <c r="P88" s="316"/>
    </row>
    <row r="89" spans="1:19">
      <c r="A89" s="32"/>
      <c r="B89" s="29"/>
      <c r="C89" s="18"/>
      <c r="D89" s="29"/>
      <c r="E89" s="19" t="str">
        <f t="shared" ref="E89:G90" si="105">E63</f>
        <v>Q4</v>
      </c>
      <c r="F89" s="19" t="str">
        <f t="shared" si="105"/>
        <v>Q1</v>
      </c>
      <c r="G89" s="19" t="str">
        <f t="shared" si="105"/>
        <v>Q2</v>
      </c>
      <c r="H89" s="19" t="str">
        <f t="shared" ref="H89:I90" si="106">H63</f>
        <v>Q3</v>
      </c>
      <c r="I89" s="19" t="str">
        <f t="shared" si="106"/>
        <v>Q4</v>
      </c>
      <c r="J89" s="19" t="str">
        <f t="shared" ref="J89:K90" si="107">J63</f>
        <v>Q1</v>
      </c>
      <c r="K89" s="19" t="str">
        <f t="shared" si="107"/>
        <v>Q2</v>
      </c>
      <c r="L89" s="19" t="str">
        <f t="shared" ref="L89:M89" si="108">L63</f>
        <v>Q3</v>
      </c>
      <c r="M89" s="19" t="str">
        <f t="shared" si="108"/>
        <v>Q4</v>
      </c>
      <c r="N89" s="19" t="str">
        <f t="shared" ref="N89:O89" si="109">N63</f>
        <v>Q1</v>
      </c>
      <c r="O89" s="19" t="str">
        <f t="shared" si="109"/>
        <v>Q2</v>
      </c>
      <c r="P89" s="19" t="str">
        <f t="shared" ref="P89" si="110">P63</f>
        <v>Q3</v>
      </c>
    </row>
    <row r="90" spans="1:19">
      <c r="A90" s="312"/>
      <c r="B90" s="312"/>
      <c r="C90" s="312"/>
      <c r="D90" s="312"/>
      <c r="E90" s="19" t="str">
        <f t="shared" si="105"/>
        <v>CY10</v>
      </c>
      <c r="F90" s="19" t="str">
        <f t="shared" si="105"/>
        <v>CY11</v>
      </c>
      <c r="G90" s="19" t="str">
        <f t="shared" si="105"/>
        <v>CY11</v>
      </c>
      <c r="H90" s="19" t="str">
        <f t="shared" si="106"/>
        <v>CY11</v>
      </c>
      <c r="I90" s="19" t="str">
        <f t="shared" si="106"/>
        <v>CY11</v>
      </c>
      <c r="J90" s="19" t="str">
        <f t="shared" si="107"/>
        <v>CY12</v>
      </c>
      <c r="K90" s="19" t="str">
        <f t="shared" si="107"/>
        <v>CY12</v>
      </c>
      <c r="L90" s="19" t="str">
        <f t="shared" ref="L90:M90" si="111">L64</f>
        <v>CY12</v>
      </c>
      <c r="M90" s="19" t="str">
        <f t="shared" si="111"/>
        <v>CY12</v>
      </c>
      <c r="N90" s="19" t="str">
        <f t="shared" ref="N90:O90" si="112">N64</f>
        <v>CY13</v>
      </c>
      <c r="O90" s="19" t="str">
        <f t="shared" si="112"/>
        <v>CY13</v>
      </c>
      <c r="P90" s="19" t="str">
        <f t="shared" ref="P90" si="113">P64</f>
        <v>CY13</v>
      </c>
    </row>
    <row r="91" spans="1:19">
      <c r="A91" s="32"/>
      <c r="B91" s="29"/>
      <c r="C91" s="18"/>
      <c r="D91" s="29"/>
      <c r="E91" s="41" t="str">
        <f t="shared" ref="E91:G91" si="114">E65</f>
        <v>TTM</v>
      </c>
      <c r="F91" s="41" t="str">
        <f t="shared" si="114"/>
        <v>TTM</v>
      </c>
      <c r="G91" s="41" t="str">
        <f t="shared" si="114"/>
        <v>TTM</v>
      </c>
      <c r="H91" s="41" t="str">
        <f t="shared" ref="H91:I91" si="115">H65</f>
        <v>TTM</v>
      </c>
      <c r="I91" s="41" t="str">
        <f t="shared" si="115"/>
        <v>TTM</v>
      </c>
      <c r="J91" s="41" t="str">
        <f t="shared" ref="J91:K91" si="116">J65</f>
        <v>TTM</v>
      </c>
      <c r="K91" s="41" t="str">
        <f t="shared" si="116"/>
        <v>TTM</v>
      </c>
      <c r="L91" s="41" t="str">
        <f t="shared" ref="L91:M91" si="117">L65</f>
        <v>TTM</v>
      </c>
      <c r="M91" s="41" t="str">
        <f t="shared" si="117"/>
        <v>TTM</v>
      </c>
      <c r="N91" s="41" t="str">
        <f t="shared" ref="N91:O91" si="118">N65</f>
        <v>TTM</v>
      </c>
      <c r="O91" s="41" t="str">
        <f t="shared" si="118"/>
        <v>TTM</v>
      </c>
      <c r="P91" s="41" t="str">
        <f t="shared" ref="P91" si="119">P65</f>
        <v>TTM</v>
      </c>
    </row>
    <row r="92" spans="1:19">
      <c r="A92" s="32"/>
      <c r="B92" s="29"/>
      <c r="C92" s="18"/>
      <c r="D92" s="29"/>
      <c r="E92" s="33"/>
      <c r="F92" s="33"/>
      <c r="G92" s="18"/>
      <c r="H92" s="18"/>
      <c r="I92" s="18"/>
      <c r="J92" s="18"/>
      <c r="K92" s="18"/>
      <c r="L92" s="18"/>
      <c r="M92" s="18"/>
      <c r="N92" s="18"/>
      <c r="O92" s="18"/>
      <c r="P92" s="18"/>
    </row>
    <row r="93" spans="1:19">
      <c r="A93" s="32"/>
      <c r="B93" s="1" t="s">
        <v>185</v>
      </c>
      <c r="C93" s="18"/>
      <c r="D93" s="29"/>
      <c r="E93" s="33"/>
      <c r="F93" s="33"/>
      <c r="G93" s="18"/>
      <c r="H93" s="18"/>
      <c r="I93" s="18"/>
      <c r="J93" s="18"/>
      <c r="K93" s="18"/>
      <c r="L93" s="18"/>
      <c r="M93" s="18"/>
      <c r="N93" s="18"/>
      <c r="O93" s="18"/>
      <c r="P93" s="18"/>
    </row>
    <row r="94" spans="1:19" s="43" customFormat="1">
      <c r="A94" s="10"/>
      <c r="B94" s="2"/>
      <c r="C94" s="2" t="s">
        <v>196</v>
      </c>
      <c r="D94" s="10"/>
      <c r="E94" s="35">
        <f t="shared" ref="E94:G94" si="120">E69/E$67</f>
        <v>0.28065792213200086</v>
      </c>
      <c r="F94" s="35">
        <f t="shared" si="120"/>
        <v>0.27090646293619658</v>
      </c>
      <c r="G94" s="35">
        <f t="shared" si="120"/>
        <v>0.26363449269396994</v>
      </c>
      <c r="H94" s="35">
        <f t="shared" ref="H94:I106" si="121">H69/H$67</f>
        <v>0.26204363793475915</v>
      </c>
      <c r="I94" s="35">
        <f t="shared" si="121"/>
        <v>0.24972154154600135</v>
      </c>
      <c r="J94" s="35">
        <f t="shared" ref="J94:K94" si="122">J69/J$67</f>
        <v>0.25248785003471419</v>
      </c>
      <c r="K94" s="35">
        <f t="shared" si="122"/>
        <v>0.24037639007698888</v>
      </c>
      <c r="L94" s="35">
        <f t="shared" ref="L94:M106" si="123">L69/L$67</f>
        <v>0.236875</v>
      </c>
      <c r="M94" s="35">
        <f t="shared" si="123"/>
        <v>0.22378183276518948</v>
      </c>
      <c r="N94" s="35">
        <f t="shared" ref="N94" si="124">N69/N$67</f>
        <v>0.21579554189085318</v>
      </c>
      <c r="O94" s="35">
        <f>O69/O$67</f>
        <v>0.2221521647751156</v>
      </c>
      <c r="P94" s="35">
        <f>P69/P$67</f>
        <v>0.22041166380789023</v>
      </c>
    </row>
    <row r="95" spans="1:19" s="43" customFormat="1">
      <c r="A95" s="10"/>
      <c r="B95" s="2"/>
      <c r="C95" s="2" t="s">
        <v>213</v>
      </c>
      <c r="D95" s="10"/>
      <c r="E95" s="35">
        <f t="shared" ref="E95:G95" si="125">E70/E$67</f>
        <v>5.2050801582344368E-2</v>
      </c>
      <c r="F95" s="35">
        <f t="shared" si="125"/>
        <v>5.3892215568862277E-2</v>
      </c>
      <c r="G95" s="35">
        <f t="shared" si="125"/>
        <v>5.515538176579543E-2</v>
      </c>
      <c r="H95" s="35">
        <f t="shared" si="121"/>
        <v>5.7679844458846406E-2</v>
      </c>
      <c r="I95" s="35">
        <f t="shared" si="121"/>
        <v>5.6805524615727333E-2</v>
      </c>
      <c r="J95" s="35">
        <f t="shared" ref="J95:K95" si="126">J70/J$67</f>
        <v>5.9939828743346447E-2</v>
      </c>
      <c r="K95" s="35">
        <f t="shared" si="126"/>
        <v>5.731394354148845E-2</v>
      </c>
      <c r="L95" s="35">
        <f t="shared" si="123"/>
        <v>5.5625000000000001E-2</v>
      </c>
      <c r="M95" s="35">
        <f t="shared" si="123"/>
        <v>5.2937637858431925E-2</v>
      </c>
      <c r="N95" s="35">
        <f t="shared" ref="N95:O95" si="127">N70/N$67</f>
        <v>4.8039969254419675E-2</v>
      </c>
      <c r="O95" s="35">
        <f t="shared" si="127"/>
        <v>4.8970155527532575E-2</v>
      </c>
      <c r="P95" s="35">
        <f t="shared" ref="P95" si="128">P70/P$67</f>
        <v>4.5883361921097772E-2</v>
      </c>
    </row>
    <row r="96" spans="1:19" s="43" customFormat="1">
      <c r="A96" s="10"/>
      <c r="B96" s="2"/>
      <c r="C96" s="2" t="s">
        <v>194</v>
      </c>
      <c r="D96" s="10"/>
      <c r="E96" s="35">
        <f t="shared" ref="E96:G96" si="129">E71/E$67</f>
        <v>5.9754320216531334E-2</v>
      </c>
      <c r="F96" s="35">
        <f t="shared" si="129"/>
        <v>5.6370018583522613E-2</v>
      </c>
      <c r="G96" s="35">
        <f t="shared" si="129"/>
        <v>4.7952253550113191E-2</v>
      </c>
      <c r="H96" s="35">
        <f t="shared" si="121"/>
        <v>4.1909699719161808E-2</v>
      </c>
      <c r="I96" s="35">
        <f t="shared" si="121"/>
        <v>3.5419915348629982E-2</v>
      </c>
      <c r="J96" s="35">
        <f t="shared" ref="J96:K96" si="130">J71/J$67</f>
        <v>3.5871326081925482E-2</v>
      </c>
      <c r="K96" s="35">
        <f t="shared" si="130"/>
        <v>4.2130025662959793E-2</v>
      </c>
      <c r="L96" s="35">
        <f t="shared" si="123"/>
        <v>4.6666666666666669E-2</v>
      </c>
      <c r="M96" s="35">
        <f t="shared" si="123"/>
        <v>4.4315219570884301E-2</v>
      </c>
      <c r="N96" s="35">
        <f t="shared" ref="N96:O96" si="131">N71/N$67</f>
        <v>4.4773251345119142E-2</v>
      </c>
      <c r="O96" s="35">
        <f t="shared" si="131"/>
        <v>3.9512400168137875E-2</v>
      </c>
      <c r="P96" s="35">
        <f t="shared" ref="P96" si="132">P71/P$67</f>
        <v>3.4090909090909088E-2</v>
      </c>
    </row>
    <row r="97" spans="1:16" s="43" customFormat="1">
      <c r="A97" s="10"/>
      <c r="B97" s="2"/>
      <c r="C97" s="2" t="s">
        <v>195</v>
      </c>
      <c r="D97" s="10"/>
      <c r="E97" s="35">
        <f t="shared" ref="E97:G97" si="133">E72/E$67</f>
        <v>2.0820320632937747E-2</v>
      </c>
      <c r="F97" s="35">
        <f t="shared" si="133"/>
        <v>1.858352260995251E-2</v>
      </c>
      <c r="G97" s="35">
        <f t="shared" si="133"/>
        <v>1.7287507717637374E-2</v>
      </c>
      <c r="H97" s="35">
        <f t="shared" si="121"/>
        <v>1.4257939079714841E-2</v>
      </c>
      <c r="I97" s="35">
        <f t="shared" si="121"/>
        <v>1.6039206950323012E-2</v>
      </c>
      <c r="J97" s="35">
        <f t="shared" ref="J97:K97" si="134">J72/J$67</f>
        <v>1.5505669983800046E-2</v>
      </c>
      <c r="K97" s="35">
        <f t="shared" si="134"/>
        <v>1.5611633875106929E-2</v>
      </c>
      <c r="L97" s="35">
        <f t="shared" si="123"/>
        <v>1.5625E-2</v>
      </c>
      <c r="M97" s="35">
        <f t="shared" si="123"/>
        <v>1.2432324042510528E-2</v>
      </c>
      <c r="N97" s="35">
        <f t="shared" ref="N97:O97" si="135">N72/N$67</f>
        <v>1.7486548808608761E-2</v>
      </c>
      <c r="O97" s="35">
        <f t="shared" si="135"/>
        <v>1.7444304329550232E-2</v>
      </c>
      <c r="P97" s="35">
        <f t="shared" ref="P97" si="136">P72/P$67</f>
        <v>1.6295025728987993E-2</v>
      </c>
    </row>
    <row r="98" spans="1:16">
      <c r="A98" s="10"/>
      <c r="B98" s="10"/>
      <c r="C98" s="6" t="s">
        <v>42</v>
      </c>
      <c r="D98" s="10"/>
      <c r="E98" s="35">
        <f t="shared" ref="E98:G98" si="137">E73/E$67</f>
        <v>0.12783676868623778</v>
      </c>
      <c r="F98" s="35">
        <f t="shared" si="137"/>
        <v>0.12533553582490192</v>
      </c>
      <c r="G98" s="35">
        <f t="shared" si="137"/>
        <v>0.12595184194278658</v>
      </c>
      <c r="H98" s="35">
        <f t="shared" si="121"/>
        <v>0.13545042125729098</v>
      </c>
      <c r="I98" s="35">
        <f t="shared" si="121"/>
        <v>0.1312096235241702</v>
      </c>
      <c r="J98" s="35">
        <f t="shared" ref="J98:K98" si="138">J73/J$67</f>
        <v>0.1309881971765795</v>
      </c>
      <c r="K98" s="35">
        <f t="shared" si="138"/>
        <v>0.12788708297690335</v>
      </c>
      <c r="L98" s="35">
        <f t="shared" si="123"/>
        <v>0.12375</v>
      </c>
      <c r="M98" s="35">
        <f t="shared" si="123"/>
        <v>0.1171044716262282</v>
      </c>
      <c r="N98" s="35">
        <f t="shared" ref="N98:O98" si="139">N73/N$67</f>
        <v>0.11414296694850115</v>
      </c>
      <c r="O98" s="35">
        <f t="shared" si="139"/>
        <v>0.11979823455233292</v>
      </c>
      <c r="P98" s="35">
        <f t="shared" ref="P98" si="140">P73/P$67</f>
        <v>0.12457118353344769</v>
      </c>
    </row>
    <row r="99" spans="1:16">
      <c r="A99" s="10"/>
      <c r="B99" s="10"/>
      <c r="C99" s="6" t="s">
        <v>43</v>
      </c>
      <c r="D99" s="10"/>
      <c r="E99" s="35">
        <f t="shared" ref="E99:G106" si="141">E74/E$67</f>
        <v>0.10576722881532376</v>
      </c>
      <c r="F99" s="35">
        <f t="shared" si="141"/>
        <v>0.10592607887672929</v>
      </c>
      <c r="G99" s="35">
        <f>G74/G$67</f>
        <v>9.9197365713109692E-2</v>
      </c>
      <c r="H99" s="35">
        <f t="shared" si="121"/>
        <v>0.10520630805789587</v>
      </c>
      <c r="I99" s="35">
        <f t="shared" si="121"/>
        <v>0.12007128536422365</v>
      </c>
      <c r="J99" s="35">
        <f t="shared" ref="J99:K99" si="142">J74/J$67</f>
        <v>0.12983105762554964</v>
      </c>
      <c r="K99" s="35">
        <f t="shared" si="142"/>
        <v>0.12917023096663816</v>
      </c>
      <c r="L99" s="35">
        <f t="shared" si="123"/>
        <v>0.12916666666666668</v>
      </c>
      <c r="M99" s="35">
        <f t="shared" si="123"/>
        <v>0.11429717264888711</v>
      </c>
      <c r="N99" s="35">
        <f t="shared" ref="N99:O99" si="143">N74/N$67</f>
        <v>0.11510376633358954</v>
      </c>
      <c r="O99" s="35">
        <f t="shared" si="143"/>
        <v>0.12147961328289197</v>
      </c>
      <c r="P99" s="35">
        <f t="shared" ref="P99" si="144">P74/P$67</f>
        <v>0.12671526586620926</v>
      </c>
    </row>
    <row r="100" spans="1:16" ht="16.5">
      <c r="A100" s="10"/>
      <c r="B100" s="10"/>
      <c r="C100" s="6" t="s">
        <v>44</v>
      </c>
      <c r="D100" s="10"/>
      <c r="E100" s="36">
        <f t="shared" si="141"/>
        <v>6.7666042057047682E-2</v>
      </c>
      <c r="F100" s="36">
        <f t="shared" si="141"/>
        <v>7.4953541193475123E-2</v>
      </c>
      <c r="G100" s="36">
        <f>G75/G$67</f>
        <v>8.4585305618440007E-2</v>
      </c>
      <c r="H100" s="36">
        <f t="shared" si="121"/>
        <v>8.7707928278245847E-2</v>
      </c>
      <c r="I100" s="36">
        <f t="shared" si="121"/>
        <v>8.8215638226776569E-2</v>
      </c>
      <c r="J100" s="36">
        <f t="shared" ref="J100:K100" si="145">J75/J$67</f>
        <v>9.0719740800740564E-2</v>
      </c>
      <c r="K100" s="36">
        <f t="shared" si="145"/>
        <v>9.5594525235243796E-2</v>
      </c>
      <c r="L100" s="36">
        <f t="shared" si="123"/>
        <v>9.3541666666666662E-2</v>
      </c>
      <c r="M100" s="36">
        <f t="shared" si="123"/>
        <v>9.4646079807499492E-2</v>
      </c>
      <c r="N100" s="36">
        <f t="shared" ref="N100:O100" si="146">N75/N$67</f>
        <v>8.8201383551114523E-2</v>
      </c>
      <c r="O100" s="36">
        <f t="shared" si="146"/>
        <v>7.8814627994955866E-2</v>
      </c>
      <c r="P100" s="36">
        <f t="shared" ref="P100" si="147">P75/P$67</f>
        <v>7.8687821612349912E-2</v>
      </c>
    </row>
    <row r="101" spans="1:16" ht="16.5">
      <c r="A101" s="10"/>
      <c r="B101" s="10"/>
      <c r="C101" s="10"/>
      <c r="D101" s="10" t="s">
        <v>0</v>
      </c>
      <c r="E101" s="36">
        <f t="shared" si="141"/>
        <v>0.71455340412242352</v>
      </c>
      <c r="F101" s="36">
        <f t="shared" si="141"/>
        <v>0.70596737559364031</v>
      </c>
      <c r="G101" s="36">
        <f t="shared" si="141"/>
        <v>0.69376414900185224</v>
      </c>
      <c r="H101" s="36">
        <f t="shared" si="121"/>
        <v>0.70425577878591483</v>
      </c>
      <c r="I101" s="36">
        <f t="shared" si="121"/>
        <v>0.69748273557585205</v>
      </c>
      <c r="J101" s="36">
        <f t="shared" ref="J101:K101" si="148">J76/J$67</f>
        <v>0.71534367044665592</v>
      </c>
      <c r="K101" s="36">
        <f t="shared" si="148"/>
        <v>0.70808383233532934</v>
      </c>
      <c r="L101" s="36">
        <f t="shared" si="123"/>
        <v>0.70125000000000004</v>
      </c>
      <c r="M101" s="36">
        <f t="shared" si="123"/>
        <v>0.65951473831963103</v>
      </c>
      <c r="N101" s="36">
        <f t="shared" ref="N101:O101" si="149">N76/N$67</f>
        <v>0.643543428132206</v>
      </c>
      <c r="O101" s="36">
        <f t="shared" si="149"/>
        <v>0.64817150063051698</v>
      </c>
      <c r="P101" s="36">
        <f t="shared" ref="P101" si="150">P76/P$67</f>
        <v>0.64665523156089189</v>
      </c>
    </row>
    <row r="102" spans="1:16">
      <c r="A102" s="11"/>
      <c r="B102" s="25" t="s">
        <v>1</v>
      </c>
      <c r="C102" s="3"/>
      <c r="D102" s="11"/>
      <c r="E102" s="34">
        <f t="shared" ref="E102:F106" si="151">E77/E$67</f>
        <v>0.28544659587757654</v>
      </c>
      <c r="F102" s="34">
        <f t="shared" si="151"/>
        <v>0.29403262440635969</v>
      </c>
      <c r="G102" s="34">
        <f t="shared" si="141"/>
        <v>0.30623585099814776</v>
      </c>
      <c r="H102" s="34">
        <f t="shared" si="121"/>
        <v>0.29574422121408511</v>
      </c>
      <c r="I102" s="34">
        <f t="shared" si="121"/>
        <v>0.30251726442414789</v>
      </c>
      <c r="J102" s="34">
        <f t="shared" ref="J102:K102" si="152">J77/J$67</f>
        <v>0.28465632955334413</v>
      </c>
      <c r="K102" s="34">
        <f t="shared" si="152"/>
        <v>0.29191616766467066</v>
      </c>
      <c r="L102" s="34">
        <f t="shared" si="123"/>
        <v>0.29875000000000002</v>
      </c>
      <c r="M102" s="34">
        <f t="shared" si="123"/>
        <v>0.34048526168036897</v>
      </c>
      <c r="N102" s="34">
        <f t="shared" ref="N102:O102" si="153">N77/N$67</f>
        <v>0.356456571867794</v>
      </c>
      <c r="O102" s="34">
        <f t="shared" si="153"/>
        <v>0.35182849936948296</v>
      </c>
      <c r="P102" s="34">
        <f t="shared" ref="P102" si="154">P77/P$67</f>
        <v>0.35334476843910806</v>
      </c>
    </row>
    <row r="103" spans="1:16" ht="16.5">
      <c r="A103" s="12"/>
      <c r="B103" s="2" t="s">
        <v>209</v>
      </c>
      <c r="C103" s="12"/>
      <c r="D103" s="12"/>
      <c r="E103" s="36">
        <f t="shared" si="151"/>
        <v>4.7886737455756822E-3</v>
      </c>
      <c r="F103" s="36">
        <f t="shared" si="151"/>
        <v>5.1620896138756967E-3</v>
      </c>
      <c r="G103" s="36">
        <f t="shared" si="141"/>
        <v>5.3508952459353776E-3</v>
      </c>
      <c r="H103" s="36">
        <f t="shared" si="121"/>
        <v>3.2404406999351912E-3</v>
      </c>
      <c r="I103" s="36">
        <f t="shared" si="121"/>
        <v>6.6830028959679211E-4</v>
      </c>
      <c r="J103" s="36">
        <f t="shared" ref="J103:K103" si="155">J78/J$67</f>
        <v>2.3142791020597085E-4</v>
      </c>
      <c r="K103" s="36">
        <f t="shared" si="155"/>
        <v>2.13857998289136E-4</v>
      </c>
      <c r="L103" s="36">
        <f t="shared" si="123"/>
        <v>-2.0833333333333335E-4</v>
      </c>
      <c r="M103" s="36">
        <f t="shared" si="123"/>
        <v>1.4036494886705434E-3</v>
      </c>
      <c r="N103" s="36">
        <f t="shared" ref="N103:O103" si="156">N78/N$67</f>
        <v>1.5372790161414297E-3</v>
      </c>
      <c r="O103" s="36">
        <f t="shared" si="156"/>
        <v>1.2610340479192938E-3</v>
      </c>
      <c r="P103" s="36">
        <f t="shared" ref="P103" si="157">P78/P$67</f>
        <v>2.144082332761578E-4</v>
      </c>
    </row>
    <row r="104" spans="1:16">
      <c r="A104" s="12"/>
      <c r="B104" s="22" t="s">
        <v>47</v>
      </c>
      <c r="C104" s="4"/>
      <c r="D104" s="12"/>
      <c r="E104" s="35">
        <f t="shared" si="151"/>
        <v>0.29023526962315221</v>
      </c>
      <c r="F104" s="35">
        <f t="shared" si="151"/>
        <v>0.2991947140202354</v>
      </c>
      <c r="G104" s="35">
        <f t="shared" si="141"/>
        <v>0.31158674624408317</v>
      </c>
      <c r="H104" s="35">
        <f t="shared" si="121"/>
        <v>0.29898466191402029</v>
      </c>
      <c r="I104" s="35">
        <f t="shared" si="121"/>
        <v>0.30318556471374469</v>
      </c>
      <c r="J104" s="35">
        <f t="shared" ref="J104:K104" si="158">J79/J$67</f>
        <v>0.28488775746355011</v>
      </c>
      <c r="K104" s="35">
        <f t="shared" si="158"/>
        <v>0.29213002566295981</v>
      </c>
      <c r="L104" s="35">
        <f t="shared" si="123"/>
        <v>0.29854166666666665</v>
      </c>
      <c r="M104" s="35">
        <f t="shared" si="123"/>
        <v>0.34188891116903952</v>
      </c>
      <c r="N104" s="35">
        <f t="shared" ref="N104:O104" si="159">N79/N$67</f>
        <v>0.35799385088393543</v>
      </c>
      <c r="O104" s="35">
        <f t="shared" si="159"/>
        <v>0.35308953341740229</v>
      </c>
      <c r="P104" s="35">
        <f t="shared" ref="P104" si="160">P79/P$67</f>
        <v>0.35355917667238423</v>
      </c>
    </row>
    <row r="105" spans="1:16" ht="16.5">
      <c r="A105" s="12"/>
      <c r="B105" s="2" t="s">
        <v>48</v>
      </c>
      <c r="C105" s="4"/>
      <c r="D105" s="12"/>
      <c r="E105" s="36">
        <f t="shared" si="151"/>
        <v>8.3905892150739125E-2</v>
      </c>
      <c r="F105" s="36">
        <f t="shared" si="151"/>
        <v>8.6310138344001655E-2</v>
      </c>
      <c r="G105" s="36">
        <f t="shared" si="141"/>
        <v>8.9936200864375385E-2</v>
      </c>
      <c r="H105" s="36">
        <f t="shared" si="121"/>
        <v>7.9498811838410025E-2</v>
      </c>
      <c r="I105" s="36">
        <f t="shared" si="121"/>
        <v>6.1038093116507014E-2</v>
      </c>
      <c r="J105" s="36">
        <f t="shared" ref="J105:K105" si="161">J80/J$67</f>
        <v>5.4154130988197179E-2</v>
      </c>
      <c r="K105" s="36">
        <f t="shared" si="161"/>
        <v>5.6244653550042774E-2</v>
      </c>
      <c r="L105" s="36">
        <f t="shared" si="123"/>
        <v>5.1874999999999998E-2</v>
      </c>
      <c r="M105" s="36">
        <f t="shared" si="123"/>
        <v>7.1185081211148984E-2</v>
      </c>
      <c r="N105" s="36">
        <f t="shared" ref="N105:O105" si="162">N80/N$67</f>
        <v>7.3212913143735583E-2</v>
      </c>
      <c r="O105" s="36">
        <f t="shared" si="162"/>
        <v>6.9777217318200926E-2</v>
      </c>
      <c r="P105" s="36">
        <f t="shared" ref="P105" si="163">P80/P$67</f>
        <v>8.1260720411663809E-2</v>
      </c>
    </row>
    <row r="106" spans="1:16" ht="16.5">
      <c r="A106" s="9"/>
      <c r="B106" s="25" t="s">
        <v>2</v>
      </c>
      <c r="C106" s="9"/>
      <c r="D106" s="9"/>
      <c r="E106" s="37">
        <f t="shared" si="151"/>
        <v>0.20632937747241306</v>
      </c>
      <c r="F106" s="37">
        <f t="shared" si="151"/>
        <v>0.21288457567623373</v>
      </c>
      <c r="G106" s="37">
        <f t="shared" si="141"/>
        <v>0.22165054537970777</v>
      </c>
      <c r="H106" s="37">
        <f t="shared" si="121"/>
        <v>0.21948585007561028</v>
      </c>
      <c r="I106" s="37">
        <f t="shared" si="121"/>
        <v>0.24214747159723768</v>
      </c>
      <c r="J106" s="37">
        <f t="shared" ref="J106:K106" si="164">J81/J$67</f>
        <v>0.23073362647535292</v>
      </c>
      <c r="K106" s="37">
        <f t="shared" si="164"/>
        <v>0.23588537211291702</v>
      </c>
      <c r="L106" s="37">
        <f t="shared" si="123"/>
        <v>0.24666666666666667</v>
      </c>
      <c r="M106" s="37">
        <f t="shared" si="123"/>
        <v>0.2707038299578905</v>
      </c>
      <c r="N106" s="37">
        <f t="shared" ref="N106:O106" si="165">N81/N$67</f>
        <v>0.28478093774019986</v>
      </c>
      <c r="O106" s="37">
        <f t="shared" si="165"/>
        <v>0.28331231609920132</v>
      </c>
      <c r="P106" s="37">
        <f t="shared" ref="P106" si="166">P81/P$67</f>
        <v>0.27229845626072041</v>
      </c>
    </row>
    <row r="108" spans="1:16">
      <c r="A108" s="27"/>
      <c r="B108" s="5" t="s">
        <v>202</v>
      </c>
    </row>
  </sheetData>
  <mergeCells count="5">
    <mergeCell ref="A1:Q1"/>
    <mergeCell ref="A2:Q2"/>
    <mergeCell ref="A3:Q3"/>
    <mergeCell ref="B27:D27"/>
    <mergeCell ref="B82:D82"/>
  </mergeCells>
  <conditionalFormatting sqref="B63:B64 C61:C64">
    <cfRule type="cellIs" dxfId="0" priority="1" stopIfTrue="1" operator="equal">
      <formula>"tie to PF Core IS"</formula>
    </cfRule>
  </conditionalFormatting>
  <pageMargins left="0.7" right="0.7" top="0.25" bottom="0.44" header="0.3" footer="0.3"/>
  <pageSetup scale="61" fitToHeight="2" orientation="landscape" r:id="rId1"/>
  <headerFooter>
    <oddFooter>&amp;LActivision Blizzard, Inc.&amp;R&amp;P of &amp; 18</oddFooter>
  </headerFooter>
  <rowBreaks count="1" manualBreakCount="1">
    <brk id="6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view="pageBreakPreview" zoomScaleNormal="100" zoomScaleSheetLayoutView="100" zoomScalePageLayoutView="68" workbookViewId="0">
      <pane xSplit="4" ySplit="7" topLeftCell="E8" activePane="bottomRight" state="frozen"/>
      <selection pane="topRight"/>
      <selection pane="bottomLeft"/>
      <selection pane="bottomRight" activeCell="E8" sqref="E8"/>
    </sheetView>
  </sheetViews>
  <sheetFormatPr defaultColWidth="8.85546875" defaultRowHeight="12"/>
  <cols>
    <col min="1" max="3" width="2.7109375" style="5" customWidth="1"/>
    <col min="4" max="4" width="69.5703125" style="5" customWidth="1"/>
    <col min="5" max="6" width="8.5703125" style="386" customWidth="1"/>
    <col min="7" max="7" width="8.5703125" style="279" customWidth="1"/>
    <col min="8" max="16" width="8.5703125" style="344" customWidth="1"/>
    <col min="17" max="17" width="1.42578125" style="344" customWidth="1"/>
    <col min="18" max="18" width="8.5703125" style="344" customWidth="1"/>
    <col min="19" max="19" width="1" style="344" customWidth="1"/>
    <col min="20" max="16384" width="8.85546875" style="344"/>
  </cols>
  <sheetData>
    <row r="1" spans="1:19" s="31" customFormat="1" ht="15" customHeight="1" collapsed="1">
      <c r="A1" s="430" t="s">
        <v>39</v>
      </c>
      <c r="B1" s="430"/>
      <c r="C1" s="430"/>
      <c r="D1" s="430"/>
      <c r="E1" s="430"/>
      <c r="F1" s="430"/>
      <c r="G1" s="430"/>
      <c r="H1" s="430"/>
      <c r="I1" s="430"/>
      <c r="J1" s="430"/>
      <c r="K1" s="430"/>
      <c r="L1" s="430"/>
      <c r="M1" s="430"/>
      <c r="N1" s="430"/>
      <c r="O1" s="430"/>
      <c r="P1" s="430"/>
      <c r="Q1" s="430"/>
      <c r="R1" s="430"/>
      <c r="S1" s="430"/>
    </row>
    <row r="2" spans="1:19" s="31" customFormat="1" ht="15" customHeight="1">
      <c r="A2" s="430" t="s">
        <v>26</v>
      </c>
      <c r="B2" s="430"/>
      <c r="C2" s="430"/>
      <c r="D2" s="430"/>
      <c r="E2" s="430"/>
      <c r="F2" s="430"/>
      <c r="G2" s="430"/>
      <c r="H2" s="430"/>
      <c r="I2" s="430"/>
      <c r="J2" s="430"/>
      <c r="K2" s="430"/>
      <c r="L2" s="430"/>
      <c r="M2" s="430"/>
      <c r="N2" s="430"/>
      <c r="O2" s="430"/>
      <c r="P2" s="430"/>
      <c r="Q2" s="430"/>
      <c r="R2" s="430"/>
      <c r="S2" s="430"/>
    </row>
    <row r="3" spans="1:19" s="31" customFormat="1" ht="15" customHeight="1">
      <c r="A3" s="432" t="s">
        <v>24</v>
      </c>
      <c r="B3" s="432"/>
      <c r="C3" s="432"/>
      <c r="D3" s="432"/>
      <c r="E3" s="432"/>
      <c r="F3" s="432"/>
      <c r="G3" s="432"/>
      <c r="H3" s="432"/>
      <c r="I3" s="432"/>
      <c r="J3" s="432"/>
      <c r="K3" s="432"/>
      <c r="L3" s="432"/>
      <c r="M3" s="432"/>
      <c r="N3" s="432"/>
      <c r="O3" s="432"/>
      <c r="P3" s="432"/>
      <c r="Q3" s="432"/>
      <c r="R3" s="432"/>
      <c r="S3" s="432"/>
    </row>
    <row r="4" spans="1:19">
      <c r="A4" s="348"/>
      <c r="B4" s="348"/>
      <c r="C4" s="348"/>
      <c r="D4" s="348"/>
      <c r="H4" s="386"/>
      <c r="I4" s="386"/>
      <c r="J4" s="386"/>
      <c r="K4" s="386"/>
      <c r="L4" s="386"/>
      <c r="M4" s="386"/>
      <c r="N4" s="386"/>
      <c r="O4" s="386"/>
      <c r="P4" s="386"/>
      <c r="Q4" s="386"/>
    </row>
    <row r="5" spans="1:19">
      <c r="A5" s="25"/>
    </row>
    <row r="6" spans="1:19">
      <c r="E6" s="264" t="s">
        <v>6</v>
      </c>
      <c r="F6" s="264" t="s">
        <v>3</v>
      </c>
      <c r="G6" s="264" t="s">
        <v>4</v>
      </c>
      <c r="H6" s="264" t="s">
        <v>5</v>
      </c>
      <c r="I6" s="264" t="s">
        <v>6</v>
      </c>
      <c r="J6" s="264" t="s">
        <v>3</v>
      </c>
      <c r="K6" s="264" t="s">
        <v>4</v>
      </c>
      <c r="L6" s="264" t="s">
        <v>5</v>
      </c>
      <c r="M6" s="264" t="s">
        <v>6</v>
      </c>
      <c r="N6" s="264" t="s">
        <v>3</v>
      </c>
      <c r="O6" s="264" t="s">
        <v>4</v>
      </c>
      <c r="P6" s="264" t="s">
        <v>5</v>
      </c>
      <c r="R6" s="264" t="s">
        <v>198</v>
      </c>
    </row>
    <row r="7" spans="1:19">
      <c r="A7" s="403"/>
      <c r="B7" s="403"/>
      <c r="C7" s="403"/>
      <c r="D7" s="403"/>
      <c r="E7" s="265" t="s">
        <v>40</v>
      </c>
      <c r="F7" s="265" t="s">
        <v>41</v>
      </c>
      <c r="G7" s="265" t="s">
        <v>41</v>
      </c>
      <c r="H7" s="265" t="s">
        <v>41</v>
      </c>
      <c r="I7" s="265" t="s">
        <v>41</v>
      </c>
      <c r="J7" s="265" t="s">
        <v>220</v>
      </c>
      <c r="K7" s="265" t="s">
        <v>220</v>
      </c>
      <c r="L7" s="265" t="s">
        <v>220</v>
      </c>
      <c r="M7" s="265" t="s">
        <v>220</v>
      </c>
      <c r="N7" s="265" t="s">
        <v>248</v>
      </c>
      <c r="O7" s="265" t="s">
        <v>248</v>
      </c>
      <c r="P7" s="265" t="s">
        <v>248</v>
      </c>
      <c r="R7" s="265" t="s">
        <v>267</v>
      </c>
    </row>
    <row r="8" spans="1:19" ht="5.25" customHeight="1">
      <c r="A8" s="6"/>
      <c r="B8" s="6"/>
      <c r="C8" s="6"/>
      <c r="D8" s="6"/>
      <c r="G8" s="386"/>
      <c r="H8" s="386"/>
      <c r="I8" s="386"/>
      <c r="J8" s="386"/>
      <c r="K8" s="386"/>
      <c r="L8" s="386"/>
      <c r="M8" s="386"/>
      <c r="N8" s="386"/>
      <c r="O8" s="386"/>
      <c r="P8" s="386"/>
      <c r="R8" s="386"/>
    </row>
    <row r="9" spans="1:19">
      <c r="A9" s="9"/>
      <c r="B9" s="404" t="s">
        <v>258</v>
      </c>
      <c r="C9" s="9"/>
      <c r="D9" s="9"/>
      <c r="E9" s="411">
        <v>-233</v>
      </c>
      <c r="F9" s="411">
        <v>503</v>
      </c>
      <c r="G9" s="411">
        <v>335</v>
      </c>
      <c r="H9" s="411">
        <v>148</v>
      </c>
      <c r="I9" s="411">
        <v>99</v>
      </c>
      <c r="J9" s="411">
        <v>384</v>
      </c>
      <c r="K9" s="411">
        <v>185</v>
      </c>
      <c r="L9" s="411">
        <v>226</v>
      </c>
      <c r="M9" s="411">
        <v>354</v>
      </c>
      <c r="N9" s="411">
        <v>456</v>
      </c>
      <c r="O9" s="411">
        <v>324</v>
      </c>
      <c r="P9" s="411">
        <f>56</f>
        <v>56</v>
      </c>
      <c r="Q9" s="405"/>
      <c r="R9" s="411">
        <f>SUM(M9:P9)</f>
        <v>1190</v>
      </c>
    </row>
    <row r="10" spans="1:19">
      <c r="C10" s="5" t="s">
        <v>259</v>
      </c>
      <c r="E10" s="407">
        <v>0</v>
      </c>
      <c r="F10" s="416">
        <v>-2</v>
      </c>
      <c r="G10" s="416">
        <v>-3</v>
      </c>
      <c r="H10" s="416">
        <v>-3</v>
      </c>
      <c r="I10" s="416">
        <f>-2</f>
        <v>-2</v>
      </c>
      <c r="J10" s="407">
        <v>-1</v>
      </c>
      <c r="K10" s="407">
        <f>-1</f>
        <v>-1</v>
      </c>
      <c r="L10" s="407">
        <v>-1</v>
      </c>
      <c r="M10" s="407">
        <v>-1</v>
      </c>
      <c r="N10" s="407">
        <v>-2</v>
      </c>
      <c r="O10" s="407">
        <f>0</f>
        <v>0</v>
      </c>
      <c r="P10" s="407">
        <v>4</v>
      </c>
      <c r="Q10" s="406"/>
      <c r="R10" s="407">
        <f t="shared" ref="R10:R12" si="0">SUM(M10:P10)</f>
        <v>1</v>
      </c>
    </row>
    <row r="11" spans="1:19">
      <c r="C11" s="5" t="s">
        <v>260</v>
      </c>
      <c r="E11" s="407">
        <f>'QTD P&amp;L'!E24</f>
        <v>-156</v>
      </c>
      <c r="F11" s="416">
        <f>'QTD P&amp;L'!F24</f>
        <v>173</v>
      </c>
      <c r="G11" s="416">
        <f>'QTD P&amp;L'!G24</f>
        <v>134</v>
      </c>
      <c r="H11" s="416">
        <f>'QTD P&amp;L'!H24</f>
        <v>17</v>
      </c>
      <c r="I11" s="416">
        <f>'QTD P&amp;L'!I24</f>
        <v>-79</v>
      </c>
      <c r="J11" s="407">
        <f>'QTD P&amp;L'!J24</f>
        <v>130</v>
      </c>
      <c r="K11" s="407">
        <f>'QTD P&amp;L'!K24</f>
        <v>44</v>
      </c>
      <c r="L11" s="407">
        <f>'QTD P&amp;L'!L24</f>
        <v>2</v>
      </c>
      <c r="M11" s="407">
        <f>'QTD P&amp;L'!M24</f>
        <v>133</v>
      </c>
      <c r="N11" s="407">
        <f>'QTD P&amp;L'!N24</f>
        <v>133</v>
      </c>
      <c r="O11" s="407">
        <f>'QTD P&amp;L'!O24</f>
        <v>106</v>
      </c>
      <c r="P11" s="407">
        <f>10</f>
        <v>10</v>
      </c>
      <c r="Q11" s="406"/>
      <c r="R11" s="407">
        <f t="shared" si="0"/>
        <v>382</v>
      </c>
    </row>
    <row r="12" spans="1:19">
      <c r="C12" s="5" t="s">
        <v>145</v>
      </c>
      <c r="E12" s="412">
        <v>101</v>
      </c>
      <c r="F12" s="417">
        <v>26</v>
      </c>
      <c r="G12" s="417">
        <v>26</v>
      </c>
      <c r="H12" s="417">
        <v>25</v>
      </c>
      <c r="I12" s="417">
        <v>71</v>
      </c>
      <c r="J12" s="412">
        <v>23</v>
      </c>
      <c r="K12" s="412">
        <v>22</v>
      </c>
      <c r="L12" s="412">
        <v>24</v>
      </c>
      <c r="M12" s="412">
        <v>51</v>
      </c>
      <c r="N12" s="412">
        <v>24</v>
      </c>
      <c r="O12" s="412">
        <v>23</v>
      </c>
      <c r="P12" s="412">
        <v>21</v>
      </c>
      <c r="Q12" s="406"/>
      <c r="R12" s="412">
        <f t="shared" si="0"/>
        <v>119</v>
      </c>
    </row>
    <row r="13" spans="1:19" s="386" customFormat="1">
      <c r="A13" s="348"/>
      <c r="B13" s="320" t="s">
        <v>261</v>
      </c>
      <c r="C13" s="348"/>
      <c r="D13" s="348"/>
      <c r="E13" s="408">
        <f t="shared" ref="E13:P13" si="1">SUM(E9:E12)</f>
        <v>-288</v>
      </c>
      <c r="F13" s="408">
        <f t="shared" si="1"/>
        <v>700</v>
      </c>
      <c r="G13" s="408">
        <f t="shared" si="1"/>
        <v>492</v>
      </c>
      <c r="H13" s="408">
        <f t="shared" si="1"/>
        <v>187</v>
      </c>
      <c r="I13" s="408">
        <f t="shared" si="1"/>
        <v>89</v>
      </c>
      <c r="J13" s="408">
        <f t="shared" si="1"/>
        <v>536</v>
      </c>
      <c r="K13" s="408">
        <f t="shared" si="1"/>
        <v>250</v>
      </c>
      <c r="L13" s="408">
        <f t="shared" si="1"/>
        <v>251</v>
      </c>
      <c r="M13" s="408">
        <f t="shared" si="1"/>
        <v>537</v>
      </c>
      <c r="N13" s="408">
        <f t="shared" si="1"/>
        <v>611</v>
      </c>
      <c r="O13" s="408">
        <f t="shared" si="1"/>
        <v>453</v>
      </c>
      <c r="P13" s="408">
        <f t="shared" si="1"/>
        <v>91</v>
      </c>
      <c r="R13" s="408">
        <f t="shared" ref="R13" si="2">SUM(R9:R12)</f>
        <v>1692</v>
      </c>
    </row>
    <row r="14" spans="1:19" ht="7.5" customHeight="1">
      <c r="E14" s="407"/>
      <c r="F14" s="407"/>
      <c r="G14" s="407"/>
      <c r="H14" s="407"/>
      <c r="I14" s="407"/>
      <c r="J14" s="407"/>
      <c r="K14" s="407"/>
      <c r="L14" s="407"/>
      <c r="M14" s="407"/>
      <c r="N14" s="407"/>
      <c r="O14" s="407"/>
      <c r="P14" s="407"/>
      <c r="R14" s="407"/>
    </row>
    <row r="15" spans="1:19">
      <c r="C15" s="5" t="s">
        <v>263</v>
      </c>
      <c r="E15" s="407">
        <v>326</v>
      </c>
      <c r="F15" s="407">
        <v>0</v>
      </c>
      <c r="G15" s="407">
        <v>0</v>
      </c>
      <c r="H15" s="407">
        <v>0</v>
      </c>
      <c r="I15" s="407">
        <v>12</v>
      </c>
      <c r="J15" s="407">
        <v>0</v>
      </c>
      <c r="K15" s="407">
        <v>0</v>
      </c>
      <c r="L15" s="407">
        <v>0</v>
      </c>
      <c r="M15" s="407">
        <v>0</v>
      </c>
      <c r="N15" s="407">
        <v>0</v>
      </c>
      <c r="O15" s="407">
        <v>0</v>
      </c>
      <c r="P15" s="407">
        <v>0</v>
      </c>
      <c r="R15" s="407">
        <f t="shared" ref="R15:R20" si="3">SUM(M15:P15)</f>
        <v>0</v>
      </c>
    </row>
    <row r="16" spans="1:19">
      <c r="C16" s="5" t="s">
        <v>264</v>
      </c>
      <c r="E16" s="407">
        <f>859</f>
        <v>859</v>
      </c>
      <c r="F16" s="407">
        <v>-506</v>
      </c>
      <c r="G16" s="407">
        <v>-332</v>
      </c>
      <c r="H16" s="407">
        <v>-105</v>
      </c>
      <c r="I16" s="407">
        <f>758</f>
        <v>758</v>
      </c>
      <c r="J16" s="407">
        <v>-447</v>
      </c>
      <c r="K16" s="407">
        <v>40</v>
      </c>
      <c r="L16" s="407">
        <f>-110</f>
        <v>-110</v>
      </c>
      <c r="M16" s="407">
        <f>607</f>
        <v>607</v>
      </c>
      <c r="N16" s="407">
        <v>-369</v>
      </c>
      <c r="O16" s="407">
        <v>-338</v>
      </c>
      <c r="P16" s="407">
        <f>-32</f>
        <v>-32</v>
      </c>
      <c r="R16" s="407">
        <f t="shared" si="3"/>
        <v>-132</v>
      </c>
    </row>
    <row r="17" spans="1:18">
      <c r="C17" s="5" t="s">
        <v>79</v>
      </c>
      <c r="E17" s="407">
        <f>37</f>
        <v>37</v>
      </c>
      <c r="F17" s="407">
        <v>23</v>
      </c>
      <c r="G17" s="407">
        <v>20</v>
      </c>
      <c r="H17" s="407">
        <v>18</v>
      </c>
      <c r="I17" s="407">
        <f>43</f>
        <v>43</v>
      </c>
      <c r="J17" s="407">
        <v>21</v>
      </c>
      <c r="K17" s="407">
        <v>31</v>
      </c>
      <c r="L17" s="407">
        <f>34</f>
        <v>34</v>
      </c>
      <c r="M17" s="407">
        <f>40</f>
        <v>40</v>
      </c>
      <c r="N17" s="407">
        <v>26</v>
      </c>
      <c r="O17" s="407">
        <v>24</v>
      </c>
      <c r="P17" s="407">
        <f>25</f>
        <v>25</v>
      </c>
      <c r="R17" s="407">
        <f t="shared" si="3"/>
        <v>115</v>
      </c>
    </row>
    <row r="18" spans="1:18" s="386" customFormat="1">
      <c r="A18" s="348"/>
      <c r="B18" s="348"/>
      <c r="C18" s="348" t="s">
        <v>277</v>
      </c>
      <c r="D18" s="348"/>
      <c r="E18" s="407">
        <v>0</v>
      </c>
      <c r="F18" s="407">
        <v>0</v>
      </c>
      <c r="G18" s="407">
        <v>0</v>
      </c>
      <c r="H18" s="407">
        <v>0</v>
      </c>
      <c r="I18" s="407">
        <v>0</v>
      </c>
      <c r="J18" s="407">
        <v>0</v>
      </c>
      <c r="K18" s="407">
        <v>0</v>
      </c>
      <c r="L18" s="407">
        <v>0</v>
      </c>
      <c r="M18" s="407">
        <v>0</v>
      </c>
      <c r="N18" s="407">
        <v>0</v>
      </c>
      <c r="O18" s="407">
        <v>0</v>
      </c>
      <c r="P18" s="407">
        <v>62</v>
      </c>
      <c r="R18" s="407">
        <f t="shared" si="3"/>
        <v>62</v>
      </c>
    </row>
    <row r="19" spans="1:18">
      <c r="C19" s="5" t="s">
        <v>265</v>
      </c>
      <c r="E19" s="407">
        <v>-1</v>
      </c>
      <c r="F19" s="407">
        <v>19</v>
      </c>
      <c r="G19" s="407">
        <v>3</v>
      </c>
      <c r="H19" s="407">
        <f>3</f>
        <v>3</v>
      </c>
      <c r="I19" s="407">
        <v>2</v>
      </c>
      <c r="J19" s="407">
        <v>0</v>
      </c>
      <c r="K19" s="407">
        <v>0</v>
      </c>
      <c r="L19" s="407">
        <v>0</v>
      </c>
      <c r="M19" s="407">
        <v>0</v>
      </c>
      <c r="N19" s="407">
        <v>0</v>
      </c>
      <c r="O19" s="407">
        <v>0</v>
      </c>
      <c r="P19" s="407">
        <v>0</v>
      </c>
      <c r="R19" s="407">
        <f t="shared" si="3"/>
        <v>0</v>
      </c>
    </row>
    <row r="20" spans="1:18">
      <c r="C20" s="5" t="s">
        <v>266</v>
      </c>
      <c r="E20" s="407">
        <v>-7</v>
      </c>
      <c r="F20" s="407">
        <v>0</v>
      </c>
      <c r="G20" s="407">
        <v>0</v>
      </c>
      <c r="H20" s="407">
        <v>0</v>
      </c>
      <c r="I20" s="407">
        <v>7</v>
      </c>
      <c r="J20" s="407">
        <v>0</v>
      </c>
      <c r="K20" s="407">
        <v>0</v>
      </c>
      <c r="L20" s="407">
        <v>0</v>
      </c>
      <c r="M20" s="407">
        <v>-1</v>
      </c>
      <c r="N20" s="407">
        <v>0</v>
      </c>
      <c r="O20" s="407">
        <v>0</v>
      </c>
      <c r="P20" s="407">
        <v>0</v>
      </c>
      <c r="R20" s="407">
        <f t="shared" si="3"/>
        <v>-1</v>
      </c>
    </row>
    <row r="21" spans="1:18" ht="12.75" thickBot="1">
      <c r="B21" s="404" t="s">
        <v>262</v>
      </c>
      <c r="E21" s="413">
        <f t="shared" ref="E21:P21" si="4">SUM(E13:E20)</f>
        <v>926</v>
      </c>
      <c r="F21" s="413">
        <f t="shared" si="4"/>
        <v>236</v>
      </c>
      <c r="G21" s="413">
        <f t="shared" si="4"/>
        <v>183</v>
      </c>
      <c r="H21" s="413">
        <f t="shared" si="4"/>
        <v>103</v>
      </c>
      <c r="I21" s="413">
        <f t="shared" si="4"/>
        <v>911</v>
      </c>
      <c r="J21" s="413">
        <f t="shared" si="4"/>
        <v>110</v>
      </c>
      <c r="K21" s="413">
        <f t="shared" si="4"/>
        <v>321</v>
      </c>
      <c r="L21" s="413">
        <f t="shared" si="4"/>
        <v>175</v>
      </c>
      <c r="M21" s="413">
        <f t="shared" si="4"/>
        <v>1183</v>
      </c>
      <c r="N21" s="413">
        <f t="shared" si="4"/>
        <v>268</v>
      </c>
      <c r="O21" s="413">
        <f t="shared" si="4"/>
        <v>139</v>
      </c>
      <c r="P21" s="413">
        <f t="shared" si="4"/>
        <v>146</v>
      </c>
      <c r="R21" s="413">
        <f>SUM(R13:R20)</f>
        <v>1736</v>
      </c>
    </row>
    <row r="22" spans="1:18" ht="12.75" thickTop="1">
      <c r="H22" s="386"/>
      <c r="I22" s="386"/>
      <c r="J22" s="386"/>
      <c r="K22" s="386"/>
      <c r="L22" s="386"/>
      <c r="M22" s="386"/>
      <c r="N22" s="386"/>
      <c r="O22" s="386"/>
      <c r="P22" s="386"/>
      <c r="R22" s="386"/>
    </row>
    <row r="23" spans="1:18">
      <c r="H23" s="386"/>
      <c r="I23" s="386"/>
      <c r="J23" s="386"/>
      <c r="K23" s="386"/>
      <c r="L23" s="386"/>
      <c r="M23" s="386"/>
      <c r="N23" s="386"/>
      <c r="O23" s="386"/>
      <c r="P23" s="386"/>
      <c r="R23" s="386"/>
    </row>
    <row r="25" spans="1:18">
      <c r="B25" s="5" t="s">
        <v>271</v>
      </c>
    </row>
    <row r="27" spans="1:18">
      <c r="E27" s="409"/>
      <c r="F27" s="409"/>
      <c r="G27" s="409"/>
      <c r="H27" s="409"/>
      <c r="I27" s="409"/>
      <c r="J27" s="409"/>
      <c r="K27" s="409"/>
      <c r="L27" s="409"/>
      <c r="M27" s="409"/>
      <c r="N27" s="409"/>
      <c r="O27" s="409"/>
    </row>
  </sheetData>
  <mergeCells count="3">
    <mergeCell ref="A1:S1"/>
    <mergeCell ref="A2:S2"/>
    <mergeCell ref="A3:S3"/>
  </mergeCells>
  <pageMargins left="0.7" right="0.7" top="0.25" bottom="0.44" header="0.3" footer="0.3"/>
  <pageSetup scale="64" orientation="landscape" r:id="rId1"/>
  <headerFooter>
    <oddFooter>&amp;LActivision Blizzard, Inc.&amp;R&amp;P of &amp; 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9"/>
  <sheetViews>
    <sheetView showGridLines="0" view="pageBreakPreview" zoomScale="86" zoomScaleNormal="100" zoomScaleSheetLayoutView="86" workbookViewId="0">
      <pane xSplit="4" ySplit="8" topLeftCell="E9" activePane="bottomRight" state="frozen"/>
      <selection pane="topRight"/>
      <selection pane="bottomLeft"/>
      <selection pane="bottomRight" activeCell="E9" sqref="E9"/>
    </sheetView>
  </sheetViews>
  <sheetFormatPr defaultColWidth="11.42578125" defaultRowHeight="12"/>
  <cols>
    <col min="1" max="1" width="2.85546875" style="210" customWidth="1"/>
    <col min="2" max="2" width="2" style="210" customWidth="1"/>
    <col min="3" max="3" width="2.85546875" style="210" customWidth="1"/>
    <col min="4" max="4" width="67.85546875" style="210" customWidth="1"/>
    <col min="5" max="5" width="8.7109375" style="288" customWidth="1"/>
    <col min="6" max="16" width="8.5703125" style="288" customWidth="1"/>
    <col min="17" max="17" width="1.42578125" style="210" customWidth="1"/>
    <col min="18" max="16384" width="11.42578125" style="210"/>
  </cols>
  <sheetData>
    <row r="1" spans="2:17">
      <c r="B1" s="433" t="s">
        <v>70</v>
      </c>
      <c r="C1" s="433"/>
      <c r="D1" s="433"/>
      <c r="E1" s="433"/>
      <c r="F1" s="433"/>
      <c r="G1" s="433"/>
      <c r="H1" s="433"/>
      <c r="I1" s="433"/>
      <c r="J1" s="433"/>
      <c r="K1" s="433"/>
      <c r="L1" s="433"/>
      <c r="M1" s="433"/>
      <c r="N1" s="433"/>
      <c r="O1" s="433"/>
      <c r="P1" s="433"/>
      <c r="Q1" s="433"/>
    </row>
    <row r="2" spans="2:17" ht="12.75" customHeight="1">
      <c r="B2" s="433" t="s">
        <v>239</v>
      </c>
      <c r="C2" s="433"/>
      <c r="D2" s="433"/>
      <c r="E2" s="433"/>
      <c r="F2" s="433"/>
      <c r="G2" s="433"/>
      <c r="H2" s="433"/>
      <c r="I2" s="433"/>
      <c r="J2" s="433"/>
      <c r="K2" s="433"/>
      <c r="L2" s="433"/>
      <c r="M2" s="433"/>
      <c r="N2" s="433"/>
      <c r="O2" s="433"/>
      <c r="P2" s="433"/>
      <c r="Q2" s="433"/>
    </row>
    <row r="3" spans="2:17" s="211" customFormat="1" ht="12.75" customHeight="1">
      <c r="B3" s="433" t="s">
        <v>71</v>
      </c>
      <c r="C3" s="433"/>
      <c r="D3" s="433"/>
      <c r="E3" s="433"/>
      <c r="F3" s="433"/>
      <c r="G3" s="433"/>
      <c r="H3" s="433"/>
      <c r="I3" s="433"/>
      <c r="J3" s="433"/>
      <c r="K3" s="433"/>
      <c r="L3" s="433"/>
      <c r="M3" s="433"/>
      <c r="N3" s="433"/>
      <c r="O3" s="433"/>
      <c r="P3" s="433"/>
      <c r="Q3" s="433"/>
    </row>
    <row r="4" spans="2:17" s="211" customFormat="1" ht="12.75" customHeight="1">
      <c r="B4" s="212"/>
      <c r="C4" s="212"/>
      <c r="D4" s="212"/>
      <c r="E4" s="290"/>
      <c r="F4" s="290"/>
      <c r="G4" s="289"/>
      <c r="H4" s="289"/>
      <c r="I4" s="289"/>
      <c r="J4" s="289"/>
      <c r="K4" s="289"/>
      <c r="L4" s="289"/>
      <c r="M4" s="289"/>
      <c r="N4" s="289"/>
      <c r="O4" s="289"/>
      <c r="P4" s="289"/>
    </row>
    <row r="5" spans="2:17" s="211" customFormat="1" ht="12.75" customHeight="1">
      <c r="E5" s="289"/>
      <c r="F5" s="289"/>
      <c r="G5" s="289"/>
      <c r="H5" s="289"/>
      <c r="I5" s="289"/>
      <c r="J5" s="289"/>
      <c r="K5" s="289"/>
      <c r="L5" s="289"/>
      <c r="M5" s="289"/>
      <c r="N5" s="289"/>
      <c r="O5" s="289"/>
      <c r="P5" s="289"/>
    </row>
    <row r="6" spans="2:17" s="211" customFormat="1" ht="12.75" customHeight="1">
      <c r="E6" s="291" t="s">
        <v>6</v>
      </c>
      <c r="F6" s="291" t="s">
        <v>3</v>
      </c>
      <c r="G6" s="291" t="s">
        <v>4</v>
      </c>
      <c r="H6" s="291" t="s">
        <v>5</v>
      </c>
      <c r="I6" s="291" t="s">
        <v>6</v>
      </c>
      <c r="J6" s="291" t="s">
        <v>3</v>
      </c>
      <c r="K6" s="291" t="s">
        <v>4</v>
      </c>
      <c r="L6" s="291" t="s">
        <v>5</v>
      </c>
      <c r="M6" s="291" t="s">
        <v>6</v>
      </c>
      <c r="N6" s="291" t="s">
        <v>3</v>
      </c>
      <c r="O6" s="291" t="s">
        <v>4</v>
      </c>
      <c r="P6" s="291" t="s">
        <v>5</v>
      </c>
    </row>
    <row r="7" spans="2:17" s="211" customFormat="1" ht="12.75" customHeight="1" thickBot="1">
      <c r="E7" s="291" t="s">
        <v>40</v>
      </c>
      <c r="F7" s="291" t="s">
        <v>41</v>
      </c>
      <c r="G7" s="291" t="s">
        <v>41</v>
      </c>
      <c r="H7" s="291" t="s">
        <v>41</v>
      </c>
      <c r="I7" s="291" t="s">
        <v>41</v>
      </c>
      <c r="J7" s="291" t="s">
        <v>220</v>
      </c>
      <c r="K7" s="291" t="s">
        <v>220</v>
      </c>
      <c r="L7" s="291" t="s">
        <v>220</v>
      </c>
      <c r="M7" s="291" t="s">
        <v>220</v>
      </c>
      <c r="N7" s="291" t="s">
        <v>248</v>
      </c>
      <c r="O7" s="291" t="s">
        <v>248</v>
      </c>
      <c r="P7" s="291" t="s">
        <v>248</v>
      </c>
    </row>
    <row r="8" spans="2:17" s="211" customFormat="1" ht="12.75" customHeight="1">
      <c r="B8" s="219" t="s">
        <v>72</v>
      </c>
      <c r="C8" s="226"/>
      <c r="D8" s="226"/>
      <c r="E8" s="292"/>
      <c r="F8" s="292"/>
      <c r="G8" s="292"/>
      <c r="H8" s="292"/>
      <c r="I8" s="292"/>
      <c r="J8" s="292"/>
      <c r="K8" s="292"/>
      <c r="L8" s="292"/>
      <c r="M8" s="292"/>
      <c r="N8" s="292"/>
      <c r="O8" s="292"/>
      <c r="P8" s="292"/>
    </row>
    <row r="9" spans="2:17" s="211" customFormat="1" ht="12.75" customHeight="1">
      <c r="C9" s="211" t="s">
        <v>169</v>
      </c>
      <c r="E9" s="293">
        <v>1785</v>
      </c>
      <c r="F9" s="293">
        <v>323</v>
      </c>
      <c r="G9" s="293">
        <v>323</v>
      </c>
      <c r="H9" s="293">
        <v>253</v>
      </c>
      <c r="I9" s="293">
        <v>1929</v>
      </c>
      <c r="J9" s="293">
        <v>271</v>
      </c>
      <c r="K9" s="293">
        <v>373</v>
      </c>
      <c r="L9" s="293">
        <v>283</v>
      </c>
      <c r="M9" s="293">
        <v>2145</v>
      </c>
      <c r="N9" s="293">
        <v>423</v>
      </c>
      <c r="O9" s="293">
        <v>347</v>
      </c>
      <c r="P9" s="293">
        <v>319</v>
      </c>
    </row>
    <row r="10" spans="2:17" s="211" customFormat="1" ht="12.75" customHeight="1">
      <c r="C10" s="211" t="s">
        <v>170</v>
      </c>
      <c r="E10" s="293">
        <v>570</v>
      </c>
      <c r="F10" s="293">
        <v>357</v>
      </c>
      <c r="G10" s="293">
        <v>313</v>
      </c>
      <c r="H10" s="293">
        <v>297</v>
      </c>
      <c r="I10" s="293">
        <v>276</v>
      </c>
      <c r="J10" s="293">
        <v>251</v>
      </c>
      <c r="K10" s="293">
        <v>634</v>
      </c>
      <c r="L10" s="293">
        <v>414</v>
      </c>
      <c r="M10" s="293">
        <v>310</v>
      </c>
      <c r="N10" s="293">
        <v>330</v>
      </c>
      <c r="O10" s="293">
        <v>224</v>
      </c>
      <c r="P10" s="293">
        <v>282</v>
      </c>
    </row>
    <row r="11" spans="2:17" s="211" customFormat="1" ht="12.75" customHeight="1">
      <c r="C11" s="211" t="s">
        <v>171</v>
      </c>
      <c r="E11" s="294">
        <v>193</v>
      </c>
      <c r="F11" s="294">
        <v>75</v>
      </c>
      <c r="G11" s="294">
        <v>63</v>
      </c>
      <c r="H11" s="294">
        <v>77</v>
      </c>
      <c r="I11" s="294">
        <v>203</v>
      </c>
      <c r="J11" s="294">
        <v>65</v>
      </c>
      <c r="K11" s="294">
        <v>47</v>
      </c>
      <c r="L11" s="294">
        <v>54</v>
      </c>
      <c r="M11" s="294">
        <v>140</v>
      </c>
      <c r="N11" s="294">
        <v>51</v>
      </c>
      <c r="O11" s="294">
        <v>37</v>
      </c>
      <c r="P11" s="294">
        <v>56</v>
      </c>
    </row>
    <row r="12" spans="2:17" s="211" customFormat="1" ht="12.75" customHeight="1">
      <c r="C12" s="211" t="s">
        <v>73</v>
      </c>
      <c r="E12" s="293">
        <f t="shared" ref="E12" si="0">SUM(E9:E11)</f>
        <v>2548</v>
      </c>
      <c r="F12" s="293">
        <f t="shared" ref="F12:K12" si="1">SUM(F9:F11)</f>
        <v>755</v>
      </c>
      <c r="G12" s="293">
        <f t="shared" si="1"/>
        <v>699</v>
      </c>
      <c r="H12" s="293">
        <f t="shared" si="1"/>
        <v>627</v>
      </c>
      <c r="I12" s="293">
        <f t="shared" si="1"/>
        <v>2408</v>
      </c>
      <c r="J12" s="293">
        <f t="shared" si="1"/>
        <v>587</v>
      </c>
      <c r="K12" s="293">
        <f t="shared" si="1"/>
        <v>1054</v>
      </c>
      <c r="L12" s="293">
        <f t="shared" ref="L12:M12" si="2">SUM(L9:L11)</f>
        <v>751</v>
      </c>
      <c r="M12" s="293">
        <f t="shared" si="2"/>
        <v>2595</v>
      </c>
      <c r="N12" s="293">
        <f t="shared" ref="N12:O12" si="3">SUM(N9:N11)</f>
        <v>804</v>
      </c>
      <c r="O12" s="293">
        <f t="shared" si="3"/>
        <v>608</v>
      </c>
      <c r="P12" s="293">
        <f t="shared" ref="P12" si="4">SUM(P9:P11)</f>
        <v>657</v>
      </c>
    </row>
    <row r="13" spans="2:17" s="211" customFormat="1" ht="12.75" customHeight="1">
      <c r="D13" s="261"/>
      <c r="E13" s="293"/>
      <c r="F13" s="293"/>
      <c r="G13" s="293"/>
      <c r="H13" s="293"/>
      <c r="I13" s="293"/>
      <c r="J13" s="293"/>
      <c r="K13" s="293"/>
      <c r="L13" s="293"/>
      <c r="M13" s="293"/>
      <c r="N13" s="293"/>
      <c r="O13" s="293"/>
      <c r="P13" s="293"/>
    </row>
    <row r="14" spans="2:17" s="211" customFormat="1" ht="12.75" customHeight="1">
      <c r="B14" s="219" t="s">
        <v>74</v>
      </c>
      <c r="E14" s="293"/>
      <c r="F14" s="293"/>
      <c r="G14" s="293"/>
      <c r="H14" s="293"/>
      <c r="I14" s="293"/>
      <c r="J14" s="293"/>
      <c r="K14" s="293"/>
      <c r="L14" s="293"/>
      <c r="M14" s="293"/>
      <c r="N14" s="293"/>
      <c r="O14" s="293"/>
      <c r="P14" s="293"/>
    </row>
    <row r="15" spans="2:17" s="211" customFormat="1" ht="12.75" customHeight="1">
      <c r="C15" s="211" t="s">
        <v>75</v>
      </c>
      <c r="E15" s="293">
        <v>-1121</v>
      </c>
      <c r="F15" s="293">
        <v>694</v>
      </c>
      <c r="G15" s="293">
        <v>447</v>
      </c>
      <c r="H15" s="293">
        <v>127</v>
      </c>
      <c r="I15" s="293">
        <v>-1001</v>
      </c>
      <c r="J15" s="293">
        <v>585</v>
      </c>
      <c r="K15" s="293">
        <v>21</v>
      </c>
      <c r="L15" s="293">
        <v>90</v>
      </c>
      <c r="M15" s="293">
        <v>-827</v>
      </c>
      <c r="N15" s="293">
        <v>520</v>
      </c>
      <c r="O15" s="293">
        <v>442</v>
      </c>
      <c r="P15" s="293">
        <v>34</v>
      </c>
    </row>
    <row r="16" spans="2:17" s="211" customFormat="1" ht="12.75" customHeight="1" thickBot="1">
      <c r="C16" s="211" t="s">
        <v>76</v>
      </c>
      <c r="E16" s="295">
        <f t="shared" ref="E16:P16" si="5">SUM(E12:E15)-E13</f>
        <v>1427</v>
      </c>
      <c r="F16" s="295">
        <f t="shared" si="5"/>
        <v>1449</v>
      </c>
      <c r="G16" s="295">
        <f t="shared" si="5"/>
        <v>1146</v>
      </c>
      <c r="H16" s="295">
        <f t="shared" si="5"/>
        <v>754</v>
      </c>
      <c r="I16" s="295">
        <f t="shared" si="5"/>
        <v>1407</v>
      </c>
      <c r="J16" s="295">
        <f t="shared" si="5"/>
        <v>1172</v>
      </c>
      <c r="K16" s="295">
        <f t="shared" si="5"/>
        <v>1075</v>
      </c>
      <c r="L16" s="295">
        <f t="shared" si="5"/>
        <v>841</v>
      </c>
      <c r="M16" s="295">
        <f t="shared" si="5"/>
        <v>1768</v>
      </c>
      <c r="N16" s="295">
        <f t="shared" si="5"/>
        <v>1324</v>
      </c>
      <c r="O16" s="295">
        <f t="shared" si="5"/>
        <v>1050</v>
      </c>
      <c r="P16" s="295">
        <f t="shared" si="5"/>
        <v>691</v>
      </c>
    </row>
    <row r="17" spans="2:17" s="211" customFormat="1" ht="12.75" customHeight="1">
      <c r="D17" s="261"/>
      <c r="E17" s="293"/>
      <c r="F17" s="293"/>
      <c r="G17" s="293"/>
      <c r="H17" s="293"/>
      <c r="I17" s="293"/>
      <c r="J17" s="293"/>
      <c r="K17" s="293"/>
      <c r="L17" s="293"/>
      <c r="M17" s="293"/>
      <c r="N17" s="293"/>
      <c r="O17" s="293"/>
      <c r="P17" s="293"/>
    </row>
    <row r="18" spans="2:17" s="211" customFormat="1" ht="12.75" customHeight="1">
      <c r="B18" s="219" t="s">
        <v>77</v>
      </c>
      <c r="E18" s="296"/>
      <c r="F18" s="293"/>
      <c r="G18" s="293"/>
      <c r="H18" s="293"/>
      <c r="I18" s="293"/>
      <c r="J18" s="293"/>
      <c r="K18" s="293"/>
      <c r="L18" s="293"/>
      <c r="M18" s="293"/>
      <c r="N18" s="293"/>
      <c r="O18" s="293"/>
      <c r="P18" s="293"/>
    </row>
    <row r="19" spans="2:17" s="211" customFormat="1" ht="12.75" customHeight="1">
      <c r="C19" s="211" t="s">
        <v>169</v>
      </c>
      <c r="E19" s="293">
        <v>599</v>
      </c>
      <c r="F19" s="293">
        <v>48</v>
      </c>
      <c r="G19" s="293">
        <v>31</v>
      </c>
      <c r="H19" s="293">
        <v>-36</v>
      </c>
      <c r="I19" s="293">
        <v>809</v>
      </c>
      <c r="J19" s="293">
        <v>0</v>
      </c>
      <c r="K19" s="293">
        <v>-71</v>
      </c>
      <c r="L19" s="293">
        <v>-14</v>
      </c>
      <c r="M19" s="293">
        <v>1055</v>
      </c>
      <c r="N19" s="293">
        <v>112</v>
      </c>
      <c r="O19" s="293">
        <v>60</v>
      </c>
      <c r="P19" s="293">
        <v>41</v>
      </c>
      <c r="Q19" s="377"/>
    </row>
    <row r="20" spans="2:17" s="211" customFormat="1" ht="12.75" customHeight="1">
      <c r="C20" s="211" t="s">
        <v>170</v>
      </c>
      <c r="E20" s="293">
        <v>291</v>
      </c>
      <c r="F20" s="293">
        <v>170</v>
      </c>
      <c r="G20" s="293">
        <v>135</v>
      </c>
      <c r="H20" s="293">
        <v>120</v>
      </c>
      <c r="I20" s="293">
        <v>71</v>
      </c>
      <c r="J20" s="293">
        <v>89</v>
      </c>
      <c r="K20" s="293">
        <v>371</v>
      </c>
      <c r="L20" s="293">
        <v>168</v>
      </c>
      <c r="M20" s="293">
        <v>88</v>
      </c>
      <c r="N20" s="293">
        <v>135</v>
      </c>
      <c r="O20" s="293">
        <v>60</v>
      </c>
      <c r="P20" s="293">
        <v>88</v>
      </c>
      <c r="Q20" s="377"/>
    </row>
    <row r="21" spans="2:17" s="211" customFormat="1" ht="12.75" customHeight="1">
      <c r="C21" s="211" t="s">
        <v>171</v>
      </c>
      <c r="E21" s="294">
        <v>11</v>
      </c>
      <c r="F21" s="294">
        <v>0</v>
      </c>
      <c r="G21" s="294">
        <v>-1</v>
      </c>
      <c r="H21" s="294">
        <v>1</v>
      </c>
      <c r="I21" s="294">
        <v>10</v>
      </c>
      <c r="J21" s="294">
        <v>1</v>
      </c>
      <c r="K21" s="294">
        <v>0</v>
      </c>
      <c r="L21" s="294">
        <v>0</v>
      </c>
      <c r="M21" s="294">
        <v>11</v>
      </c>
      <c r="N21" s="294">
        <v>0</v>
      </c>
      <c r="O21" s="294">
        <v>-1</v>
      </c>
      <c r="P21" s="294">
        <v>-1</v>
      </c>
      <c r="Q21" s="377"/>
    </row>
    <row r="22" spans="2:17" s="211" customFormat="1" ht="12.75" customHeight="1">
      <c r="C22" s="211" t="s">
        <v>73</v>
      </c>
      <c r="E22" s="293">
        <f t="shared" ref="E22" si="6">SUM(E19:E21)</f>
        <v>901</v>
      </c>
      <c r="F22" s="293">
        <f t="shared" ref="F22:K22" si="7">SUM(F19:F21)</f>
        <v>218</v>
      </c>
      <c r="G22" s="293">
        <f t="shared" si="7"/>
        <v>165</v>
      </c>
      <c r="H22" s="293">
        <f t="shared" si="7"/>
        <v>85</v>
      </c>
      <c r="I22" s="293">
        <f t="shared" si="7"/>
        <v>890</v>
      </c>
      <c r="J22" s="293">
        <f t="shared" si="7"/>
        <v>90</v>
      </c>
      <c r="K22" s="293">
        <f t="shared" si="7"/>
        <v>300</v>
      </c>
      <c r="L22" s="293">
        <f t="shared" ref="L22:M22" si="8">SUM(L19:L21)</f>
        <v>154</v>
      </c>
      <c r="M22" s="293">
        <f t="shared" si="8"/>
        <v>1154</v>
      </c>
      <c r="N22" s="293">
        <f t="shared" ref="N22:O22" si="9">SUM(N19:N21)</f>
        <v>247</v>
      </c>
      <c r="O22" s="293">
        <f t="shared" si="9"/>
        <v>119</v>
      </c>
      <c r="P22" s="293">
        <f t="shared" ref="P22" si="10">SUM(P19:P21)</f>
        <v>128</v>
      </c>
    </row>
    <row r="23" spans="2:17" s="211" customFormat="1" ht="12.75" customHeight="1">
      <c r="D23" s="261"/>
      <c r="E23" s="296"/>
      <c r="F23" s="296"/>
      <c r="G23" s="293"/>
      <c r="H23" s="296"/>
      <c r="I23" s="296"/>
      <c r="J23" s="296"/>
      <c r="K23" s="296"/>
      <c r="L23" s="296"/>
      <c r="M23" s="296"/>
      <c r="N23" s="296"/>
      <c r="O23" s="296"/>
      <c r="P23" s="296"/>
    </row>
    <row r="24" spans="2:17" s="211" customFormat="1" ht="12.75" customHeight="1">
      <c r="B24" s="219" t="s">
        <v>210</v>
      </c>
      <c r="E24" s="293"/>
      <c r="F24" s="293"/>
      <c r="G24" s="293"/>
      <c r="H24" s="293"/>
      <c r="I24" s="293"/>
      <c r="J24" s="293"/>
      <c r="K24" s="293"/>
      <c r="L24" s="293"/>
      <c r="M24" s="293"/>
      <c r="N24" s="293"/>
      <c r="O24" s="293"/>
      <c r="P24" s="293"/>
    </row>
    <row r="25" spans="2:17" s="211" customFormat="1" ht="12.75" customHeight="1">
      <c r="B25" s="219"/>
      <c r="C25" s="211" t="s">
        <v>78</v>
      </c>
      <c r="E25" s="293">
        <v>-859</v>
      </c>
      <c r="F25" s="293">
        <v>506</v>
      </c>
      <c r="G25" s="293">
        <v>332</v>
      </c>
      <c r="H25" s="293">
        <v>105</v>
      </c>
      <c r="I25" s="293">
        <v>-758</v>
      </c>
      <c r="J25" s="293">
        <v>447</v>
      </c>
      <c r="K25" s="293">
        <v>-40</v>
      </c>
      <c r="L25" s="293">
        <v>110</v>
      </c>
      <c r="M25" s="293">
        <v>-607</v>
      </c>
      <c r="N25" s="293">
        <v>369</v>
      </c>
      <c r="O25" s="293">
        <v>338</v>
      </c>
      <c r="P25" s="293">
        <v>32</v>
      </c>
    </row>
    <row r="26" spans="2:17" s="211" customFormat="1" ht="12.75" customHeight="1">
      <c r="B26" s="219"/>
      <c r="C26" s="211" t="s">
        <v>79</v>
      </c>
      <c r="E26" s="293">
        <v>-37</v>
      </c>
      <c r="F26" s="293">
        <v>-23</v>
      </c>
      <c r="G26" s="293">
        <v>-20</v>
      </c>
      <c r="H26" s="293">
        <v>-18</v>
      </c>
      <c r="I26" s="293">
        <v>-43</v>
      </c>
      <c r="J26" s="293">
        <v>-21</v>
      </c>
      <c r="K26" s="293">
        <v>-31</v>
      </c>
      <c r="L26" s="293">
        <v>-34</v>
      </c>
      <c r="M26" s="293">
        <v>-40</v>
      </c>
      <c r="N26" s="293">
        <v>-26</v>
      </c>
      <c r="O26" s="293">
        <v>-24</v>
      </c>
      <c r="P26" s="293">
        <v>-25</v>
      </c>
    </row>
    <row r="27" spans="2:17" s="211" customFormat="1" ht="12.75" customHeight="1">
      <c r="B27" s="219"/>
      <c r="C27" s="211" t="s">
        <v>80</v>
      </c>
      <c r="E27" s="293">
        <v>1</v>
      </c>
      <c r="F27" s="293">
        <v>-19</v>
      </c>
      <c r="G27" s="293">
        <v>-3</v>
      </c>
      <c r="H27" s="293">
        <v>-3</v>
      </c>
      <c r="I27" s="293">
        <v>-2</v>
      </c>
      <c r="J27" s="293">
        <v>0</v>
      </c>
      <c r="K27" s="293">
        <v>0</v>
      </c>
      <c r="L27" s="293">
        <v>0</v>
      </c>
      <c r="M27" s="293">
        <v>0</v>
      </c>
      <c r="N27" s="293">
        <v>0</v>
      </c>
      <c r="O27" s="293">
        <v>0</v>
      </c>
      <c r="P27" s="293">
        <v>0</v>
      </c>
    </row>
    <row r="28" spans="2:17" s="211" customFormat="1" ht="12.75" customHeight="1">
      <c r="B28" s="219"/>
      <c r="C28" s="211" t="s">
        <v>81</v>
      </c>
      <c r="E28" s="293">
        <v>-77</v>
      </c>
      <c r="F28" s="293">
        <v>-8</v>
      </c>
      <c r="G28" s="293">
        <v>-7</v>
      </c>
      <c r="H28" s="293">
        <v>-7</v>
      </c>
      <c r="I28" s="293">
        <v>-50</v>
      </c>
      <c r="J28" s="293">
        <v>-3</v>
      </c>
      <c r="K28" s="293">
        <v>-2</v>
      </c>
      <c r="L28" s="293">
        <v>-3</v>
      </c>
      <c r="M28" s="293">
        <v>-23</v>
      </c>
      <c r="N28" s="293">
        <v>-3</v>
      </c>
      <c r="O28" s="293">
        <v>-3</v>
      </c>
      <c r="P28" s="293">
        <v>-3</v>
      </c>
    </row>
    <row r="29" spans="2:17" s="211" customFormat="1" ht="12.75" customHeight="1">
      <c r="B29" s="219"/>
      <c r="C29" s="211" t="s">
        <v>277</v>
      </c>
      <c r="E29" s="293">
        <v>0</v>
      </c>
      <c r="F29" s="293">
        <v>0</v>
      </c>
      <c r="G29" s="293">
        <v>0</v>
      </c>
      <c r="H29" s="293">
        <v>0</v>
      </c>
      <c r="I29" s="293">
        <v>0</v>
      </c>
      <c r="J29" s="293">
        <v>0</v>
      </c>
      <c r="K29" s="293">
        <v>0</v>
      </c>
      <c r="L29" s="293">
        <v>0</v>
      </c>
      <c r="M29" s="293">
        <v>0</v>
      </c>
      <c r="N29" s="293">
        <v>0</v>
      </c>
      <c r="O29" s="293">
        <v>0</v>
      </c>
      <c r="P29" s="293">
        <v>-62</v>
      </c>
    </row>
    <row r="30" spans="2:17" s="211" customFormat="1" ht="12.75" customHeight="1">
      <c r="B30" s="219"/>
      <c r="C30" s="211" t="s">
        <v>206</v>
      </c>
      <c r="E30" s="293">
        <v>-326</v>
      </c>
      <c r="F30" s="293">
        <v>0</v>
      </c>
      <c r="G30" s="293">
        <v>0</v>
      </c>
      <c r="H30" s="293">
        <v>0</v>
      </c>
      <c r="I30" s="293">
        <v>-12</v>
      </c>
      <c r="J30" s="293">
        <v>0</v>
      </c>
      <c r="K30" s="293">
        <v>0</v>
      </c>
      <c r="L30" s="293">
        <v>0</v>
      </c>
      <c r="M30" s="293">
        <v>0</v>
      </c>
      <c r="N30" s="293">
        <v>0</v>
      </c>
      <c r="O30" s="293">
        <v>0</v>
      </c>
      <c r="P30" s="293">
        <v>0</v>
      </c>
    </row>
    <row r="31" spans="2:17" s="211" customFormat="1" ht="12.75" customHeight="1" thickBot="1">
      <c r="C31" s="211" t="s">
        <v>216</v>
      </c>
      <c r="E31" s="295">
        <f t="shared" ref="E31:P31" si="11">SUM(E22:E30)-E23</f>
        <v>-397</v>
      </c>
      <c r="F31" s="295">
        <f t="shared" si="11"/>
        <v>674</v>
      </c>
      <c r="G31" s="295">
        <f t="shared" si="11"/>
        <v>467</v>
      </c>
      <c r="H31" s="295">
        <f t="shared" si="11"/>
        <v>162</v>
      </c>
      <c r="I31" s="295">
        <f t="shared" si="11"/>
        <v>25</v>
      </c>
      <c r="J31" s="295">
        <f t="shared" si="11"/>
        <v>513</v>
      </c>
      <c r="K31" s="295">
        <f t="shared" si="11"/>
        <v>227</v>
      </c>
      <c r="L31" s="295">
        <f t="shared" si="11"/>
        <v>227</v>
      </c>
      <c r="M31" s="295">
        <f t="shared" si="11"/>
        <v>484</v>
      </c>
      <c r="N31" s="295">
        <f t="shared" si="11"/>
        <v>587</v>
      </c>
      <c r="O31" s="295">
        <f t="shared" si="11"/>
        <v>430</v>
      </c>
      <c r="P31" s="295">
        <f t="shared" si="11"/>
        <v>70</v>
      </c>
    </row>
    <row r="32" spans="2:17" s="211" customFormat="1" ht="12.75" customHeight="1">
      <c r="D32" s="261"/>
      <c r="E32" s="289"/>
      <c r="F32" s="289"/>
      <c r="G32" s="300"/>
      <c r="H32" s="300"/>
      <c r="I32" s="300"/>
      <c r="J32" s="300"/>
      <c r="K32" s="300"/>
      <c r="L32" s="300"/>
      <c r="M32" s="300"/>
      <c r="N32" s="300"/>
      <c r="O32" s="300"/>
      <c r="P32" s="300"/>
    </row>
    <row r="33" spans="2:16" s="211" customFormat="1" ht="12.75" customHeight="1">
      <c r="D33" s="261" t="s">
        <v>82</v>
      </c>
      <c r="E33" s="343">
        <f t="shared" ref="E33:P33" si="12">E22/E12</f>
        <v>0.35361067503924648</v>
      </c>
      <c r="F33" s="343">
        <f t="shared" si="12"/>
        <v>0.28874172185430463</v>
      </c>
      <c r="G33" s="343">
        <f t="shared" si="12"/>
        <v>0.23605150214592274</v>
      </c>
      <c r="H33" s="343">
        <f t="shared" si="12"/>
        <v>0.13556618819776714</v>
      </c>
      <c r="I33" s="343">
        <f t="shared" si="12"/>
        <v>0.36960132890365449</v>
      </c>
      <c r="J33" s="343">
        <f t="shared" si="12"/>
        <v>0.15332197614991483</v>
      </c>
      <c r="K33" s="343">
        <f t="shared" si="12"/>
        <v>0.28462998102466791</v>
      </c>
      <c r="L33" s="343">
        <f t="shared" si="12"/>
        <v>0.20505992010652463</v>
      </c>
      <c r="M33" s="343">
        <f t="shared" si="12"/>
        <v>0.44470134874759154</v>
      </c>
      <c r="N33" s="343">
        <f t="shared" si="12"/>
        <v>0.30721393034825872</v>
      </c>
      <c r="O33" s="343">
        <f t="shared" si="12"/>
        <v>0.19572368421052633</v>
      </c>
      <c r="P33" s="343">
        <f t="shared" si="12"/>
        <v>0.19482496194824961</v>
      </c>
    </row>
    <row r="34" spans="2:16" s="211" customFormat="1" ht="12.75" customHeight="1"/>
    <row r="35" spans="2:16" s="211" customFormat="1" ht="12.75" customHeight="1">
      <c r="D35" s="261"/>
      <c r="E35" s="289"/>
      <c r="F35" s="298"/>
      <c r="G35" s="297"/>
      <c r="H35" s="297"/>
      <c r="I35" s="297"/>
      <c r="J35" s="297"/>
      <c r="K35" s="297"/>
      <c r="L35" s="297"/>
      <c r="M35" s="297"/>
      <c r="N35" s="297"/>
      <c r="O35" s="297"/>
      <c r="P35" s="297"/>
    </row>
    <row r="36" spans="2:16" s="211" customFormat="1">
      <c r="B36" s="210"/>
      <c r="C36" s="210"/>
    </row>
    <row r="37" spans="2:16" ht="12.75" customHeight="1">
      <c r="B37" s="221"/>
      <c r="C37" s="211"/>
      <c r="D37" s="434" t="s">
        <v>227</v>
      </c>
      <c r="E37" s="434"/>
      <c r="F37" s="434"/>
    </row>
    <row r="38" spans="2:16" ht="12.75" customHeight="1">
      <c r="B38" s="221"/>
      <c r="C38" s="211"/>
      <c r="D38" s="434" t="s">
        <v>199</v>
      </c>
      <c r="E38" s="434"/>
      <c r="F38" s="434"/>
    </row>
    <row r="39" spans="2:16" ht="12.75" customHeight="1">
      <c r="B39" s="221"/>
      <c r="C39" s="211"/>
      <c r="D39" s="434" t="s">
        <v>200</v>
      </c>
      <c r="E39" s="434"/>
      <c r="F39" s="434"/>
    </row>
  </sheetData>
  <mergeCells count="6">
    <mergeCell ref="B1:Q1"/>
    <mergeCell ref="B2:Q2"/>
    <mergeCell ref="B3:Q3"/>
    <mergeCell ref="D39:F39"/>
    <mergeCell ref="D37:F37"/>
    <mergeCell ref="D38:F38"/>
  </mergeCells>
  <pageMargins left="0.7" right="0.7" top="0.25" bottom="0.44" header="0.3" footer="0.3"/>
  <pageSetup scale="69" orientation="landscape" r:id="rId1"/>
  <headerFooter>
    <oddFooter>&amp;LActivision Blizzard, Inc.&amp;R&amp;P of &amp; 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210" customWidth="1"/>
    <col min="2" max="2" width="2" style="210" customWidth="1"/>
    <col min="3" max="3" width="2.85546875" style="210" customWidth="1"/>
    <col min="4" max="4" width="37.42578125" style="210" customWidth="1"/>
    <col min="5" max="16" width="8.5703125" style="210" customWidth="1"/>
    <col min="17" max="17" width="1.42578125" style="210" customWidth="1"/>
    <col min="18" max="16384" width="11.42578125" style="210"/>
  </cols>
  <sheetData>
    <row r="1" spans="2:17" ht="18.75" customHeight="1">
      <c r="B1" s="433" t="s">
        <v>70</v>
      </c>
      <c r="C1" s="433"/>
      <c r="D1" s="433"/>
      <c r="E1" s="433"/>
      <c r="F1" s="433"/>
      <c r="G1" s="433"/>
      <c r="H1" s="433"/>
      <c r="I1" s="433"/>
      <c r="J1" s="433"/>
      <c r="K1" s="433"/>
      <c r="L1" s="433"/>
      <c r="M1" s="433"/>
      <c r="N1" s="433"/>
      <c r="O1" s="433"/>
      <c r="P1" s="433"/>
      <c r="Q1" s="433"/>
    </row>
    <row r="2" spans="2:17" ht="12.75" customHeight="1">
      <c r="B2" s="433" t="s">
        <v>240</v>
      </c>
      <c r="C2" s="433"/>
      <c r="D2" s="433"/>
      <c r="E2" s="433"/>
      <c r="F2" s="433"/>
      <c r="G2" s="433"/>
      <c r="H2" s="433"/>
      <c r="I2" s="433"/>
      <c r="J2" s="433"/>
      <c r="K2" s="433"/>
      <c r="L2" s="433"/>
      <c r="M2" s="433"/>
      <c r="N2" s="433"/>
      <c r="O2" s="433"/>
      <c r="P2" s="433"/>
      <c r="Q2" s="433"/>
    </row>
    <row r="3" spans="2:17" ht="12.75" customHeight="1">
      <c r="B3" s="433" t="s">
        <v>71</v>
      </c>
      <c r="C3" s="433"/>
      <c r="D3" s="433"/>
      <c r="E3" s="433"/>
      <c r="F3" s="433"/>
      <c r="G3" s="433"/>
      <c r="H3" s="433"/>
      <c r="I3" s="433"/>
      <c r="J3" s="433"/>
      <c r="K3" s="433"/>
      <c r="L3" s="433"/>
      <c r="M3" s="433"/>
      <c r="N3" s="433"/>
      <c r="O3" s="433"/>
      <c r="P3" s="433"/>
      <c r="Q3" s="433"/>
    </row>
    <row r="4" spans="2:17" ht="12.75" customHeight="1"/>
    <row r="5" spans="2:17" ht="12.75" customHeight="1">
      <c r="B5" s="211"/>
      <c r="C5" s="211"/>
      <c r="D5" s="211"/>
    </row>
    <row r="6" spans="2:17" s="211" customFormat="1" ht="12.75" customHeight="1">
      <c r="E6" s="214" t="s">
        <v>6</v>
      </c>
      <c r="F6" s="214" t="s">
        <v>3</v>
      </c>
      <c r="G6" s="214" t="s">
        <v>4</v>
      </c>
      <c r="H6" s="214" t="s">
        <v>5</v>
      </c>
      <c r="I6" s="214" t="s">
        <v>6</v>
      </c>
      <c r="J6" s="214" t="s">
        <v>3</v>
      </c>
      <c r="K6" s="214" t="s">
        <v>4</v>
      </c>
      <c r="L6" s="214" t="s">
        <v>5</v>
      </c>
      <c r="M6" s="214" t="s">
        <v>6</v>
      </c>
      <c r="N6" s="214" t="s">
        <v>3</v>
      </c>
      <c r="O6" s="214" t="s">
        <v>4</v>
      </c>
      <c r="P6" s="214" t="s">
        <v>5</v>
      </c>
    </row>
    <row r="7" spans="2:17" s="211" customFormat="1" ht="12.75" customHeight="1" thickBot="1">
      <c r="E7" s="214" t="s">
        <v>40</v>
      </c>
      <c r="F7" s="214" t="s">
        <v>41</v>
      </c>
      <c r="G7" s="214" t="s">
        <v>41</v>
      </c>
      <c r="H7" s="214" t="s">
        <v>41</v>
      </c>
      <c r="I7" s="214" t="s">
        <v>41</v>
      </c>
      <c r="J7" s="214" t="s">
        <v>220</v>
      </c>
      <c r="K7" s="214" t="s">
        <v>220</v>
      </c>
      <c r="L7" s="214" t="s">
        <v>220</v>
      </c>
      <c r="M7" s="214" t="s">
        <v>220</v>
      </c>
      <c r="N7" s="214" t="s">
        <v>248</v>
      </c>
      <c r="O7" s="214" t="s">
        <v>248</v>
      </c>
      <c r="P7" s="214" t="s">
        <v>248</v>
      </c>
    </row>
    <row r="8" spans="2:17" ht="12.75" customHeight="1">
      <c r="B8" s="219" t="s">
        <v>83</v>
      </c>
      <c r="C8" s="226"/>
      <c r="D8" s="226"/>
      <c r="E8" s="215"/>
      <c r="F8" s="215"/>
      <c r="G8" s="215"/>
      <c r="H8" s="215"/>
      <c r="I8" s="215"/>
      <c r="J8" s="215"/>
      <c r="K8" s="215"/>
      <c r="L8" s="215"/>
      <c r="M8" s="215"/>
      <c r="N8" s="215"/>
      <c r="O8" s="215"/>
      <c r="P8" s="215"/>
    </row>
    <row r="9" spans="2:17" ht="12.75" customHeight="1">
      <c r="B9" s="211"/>
      <c r="C9" s="211" t="s">
        <v>84</v>
      </c>
      <c r="D9" s="211"/>
      <c r="E9" s="61">
        <v>734</v>
      </c>
      <c r="F9" s="61">
        <v>748</v>
      </c>
      <c r="G9" s="61">
        <v>580</v>
      </c>
      <c r="H9" s="61">
        <v>360</v>
      </c>
      <c r="I9" s="61">
        <v>718</v>
      </c>
      <c r="J9" s="61">
        <v>601</v>
      </c>
      <c r="K9" s="61">
        <v>562</v>
      </c>
      <c r="L9" s="61">
        <v>403</v>
      </c>
      <c r="M9" s="61">
        <v>869</v>
      </c>
      <c r="N9" s="61">
        <v>738</v>
      </c>
      <c r="O9" s="61">
        <v>562</v>
      </c>
      <c r="P9" s="61">
        <v>344</v>
      </c>
    </row>
    <row r="10" spans="2:17" ht="12.75" customHeight="1">
      <c r="B10" s="211"/>
      <c r="C10" s="211" t="s">
        <v>85</v>
      </c>
      <c r="D10" s="211"/>
      <c r="E10" s="61">
        <v>600</v>
      </c>
      <c r="F10" s="61">
        <v>594</v>
      </c>
      <c r="G10" s="61">
        <v>467</v>
      </c>
      <c r="H10" s="61">
        <v>323</v>
      </c>
      <c r="I10" s="61">
        <v>605</v>
      </c>
      <c r="J10" s="61">
        <v>485</v>
      </c>
      <c r="K10" s="61">
        <v>403</v>
      </c>
      <c r="L10" s="61">
        <v>333</v>
      </c>
      <c r="M10" s="61">
        <v>748</v>
      </c>
      <c r="N10" s="61">
        <v>487</v>
      </c>
      <c r="O10" s="61">
        <v>402</v>
      </c>
      <c r="P10" s="61">
        <v>290</v>
      </c>
    </row>
    <row r="11" spans="2:17" s="211" customFormat="1" ht="12.75" customHeight="1">
      <c r="C11" s="211" t="s">
        <v>86</v>
      </c>
      <c r="E11" s="218">
        <v>93</v>
      </c>
      <c r="F11" s="218">
        <v>107</v>
      </c>
      <c r="G11" s="218">
        <v>99</v>
      </c>
      <c r="H11" s="218">
        <v>71</v>
      </c>
      <c r="I11" s="218">
        <v>84</v>
      </c>
      <c r="J11" s="218">
        <v>86</v>
      </c>
      <c r="K11" s="218">
        <v>110</v>
      </c>
      <c r="L11" s="218">
        <v>105</v>
      </c>
      <c r="M11" s="218">
        <v>151</v>
      </c>
      <c r="N11" s="218">
        <v>99</v>
      </c>
      <c r="O11" s="218">
        <v>86</v>
      </c>
      <c r="P11" s="218">
        <v>57</v>
      </c>
    </row>
    <row r="12" spans="2:17" s="211" customFormat="1" ht="12.75" customHeight="1">
      <c r="C12" s="211" t="s">
        <v>140</v>
      </c>
      <c r="E12" s="227">
        <f t="shared" ref="E12:G12" si="0">SUM(E9:E11)</f>
        <v>1427</v>
      </c>
      <c r="F12" s="227">
        <f t="shared" si="0"/>
        <v>1449</v>
      </c>
      <c r="G12" s="227">
        <f t="shared" si="0"/>
        <v>1146</v>
      </c>
      <c r="H12" s="227">
        <f t="shared" ref="H12:I12" si="1">SUM(H9:H11)</f>
        <v>754</v>
      </c>
      <c r="I12" s="227">
        <f t="shared" si="1"/>
        <v>1407</v>
      </c>
      <c r="J12" s="227">
        <f t="shared" ref="J12:K12" si="2">SUM(J9:J11)</f>
        <v>1172</v>
      </c>
      <c r="K12" s="227">
        <f t="shared" si="2"/>
        <v>1075</v>
      </c>
      <c r="L12" s="227">
        <f t="shared" ref="L12:M12" si="3">SUM(L9:L11)</f>
        <v>841</v>
      </c>
      <c r="M12" s="227">
        <f t="shared" si="3"/>
        <v>1768</v>
      </c>
      <c r="N12" s="227">
        <f t="shared" ref="N12:O12" si="4">SUM(N9:N11)</f>
        <v>1324</v>
      </c>
      <c r="O12" s="227">
        <f t="shared" si="4"/>
        <v>1050</v>
      </c>
      <c r="P12" s="227">
        <f t="shared" ref="P12" si="5">SUM(P9:P11)</f>
        <v>691</v>
      </c>
    </row>
    <row r="13" spans="2:17" s="211" customFormat="1" ht="12.75" customHeight="1">
      <c r="E13" s="217"/>
      <c r="F13" s="217"/>
      <c r="G13" s="217"/>
      <c r="H13" s="217"/>
      <c r="I13" s="217"/>
      <c r="J13" s="217"/>
      <c r="K13" s="217"/>
      <c r="L13" s="217"/>
      <c r="M13" s="217"/>
      <c r="N13" s="217"/>
      <c r="O13" s="217"/>
      <c r="P13" s="217"/>
    </row>
    <row r="14" spans="2:17" ht="12.75" customHeight="1" thickBot="1">
      <c r="B14" s="211"/>
      <c r="C14" s="211" t="s">
        <v>87</v>
      </c>
      <c r="D14" s="211"/>
      <c r="E14" s="220">
        <f t="shared" ref="E14:P14" si="6">SUM(E9:E11)</f>
        <v>1427</v>
      </c>
      <c r="F14" s="220">
        <f t="shared" si="6"/>
        <v>1449</v>
      </c>
      <c r="G14" s="220">
        <f t="shared" si="6"/>
        <v>1146</v>
      </c>
      <c r="H14" s="220">
        <f t="shared" si="6"/>
        <v>754</v>
      </c>
      <c r="I14" s="220">
        <f t="shared" si="6"/>
        <v>1407</v>
      </c>
      <c r="J14" s="220">
        <f t="shared" si="6"/>
        <v>1172</v>
      </c>
      <c r="K14" s="220">
        <f t="shared" si="6"/>
        <v>1075</v>
      </c>
      <c r="L14" s="220">
        <f t="shared" si="6"/>
        <v>841</v>
      </c>
      <c r="M14" s="220">
        <f t="shared" si="6"/>
        <v>1768</v>
      </c>
      <c r="N14" s="220">
        <f t="shared" si="6"/>
        <v>1324</v>
      </c>
      <c r="O14" s="220">
        <f t="shared" si="6"/>
        <v>1050</v>
      </c>
      <c r="P14" s="220">
        <f t="shared" si="6"/>
        <v>691</v>
      </c>
    </row>
    <row r="15" spans="2:17" ht="12.75" customHeight="1">
      <c r="B15" s="211"/>
      <c r="C15" s="211"/>
      <c r="D15" s="211"/>
      <c r="E15" s="216"/>
      <c r="F15" s="216"/>
      <c r="G15" s="216"/>
      <c r="H15" s="216"/>
      <c r="I15" s="216"/>
      <c r="J15" s="216"/>
      <c r="K15" s="216"/>
      <c r="L15" s="216"/>
      <c r="M15" s="216"/>
      <c r="N15" s="216"/>
      <c r="O15" s="216"/>
      <c r="P15" s="216"/>
    </row>
    <row r="16" spans="2:17" ht="12.75" customHeight="1">
      <c r="B16" s="219" t="s">
        <v>296</v>
      </c>
      <c r="C16" s="211"/>
      <c r="D16" s="211"/>
      <c r="E16" s="222"/>
      <c r="F16" s="222"/>
      <c r="G16" s="222"/>
      <c r="H16" s="222"/>
      <c r="I16" s="222"/>
      <c r="J16" s="222"/>
      <c r="K16" s="222"/>
      <c r="L16" s="222"/>
      <c r="M16" s="222"/>
      <c r="N16" s="222"/>
      <c r="O16" s="222"/>
      <c r="P16" s="222"/>
    </row>
    <row r="17" spans="2:16" ht="12.75" customHeight="1">
      <c r="B17" s="211"/>
      <c r="C17" s="211" t="s">
        <v>84</v>
      </c>
      <c r="D17" s="211"/>
      <c r="E17" s="223">
        <f t="shared" ref="E17:P17" si="7">E24-E9</f>
        <v>627</v>
      </c>
      <c r="F17" s="223">
        <f t="shared" si="7"/>
        <v>-383</v>
      </c>
      <c r="G17" s="223">
        <f t="shared" si="7"/>
        <v>-249</v>
      </c>
      <c r="H17" s="223">
        <f t="shared" si="7"/>
        <v>-72</v>
      </c>
      <c r="I17" s="223">
        <f t="shared" si="7"/>
        <v>548</v>
      </c>
      <c r="J17" s="223">
        <f t="shared" si="7"/>
        <v>-331</v>
      </c>
      <c r="K17" s="223">
        <f t="shared" si="7"/>
        <v>-79</v>
      </c>
      <c r="L17" s="223">
        <f t="shared" si="7"/>
        <v>-49</v>
      </c>
      <c r="M17" s="223">
        <f t="shared" si="7"/>
        <v>538</v>
      </c>
      <c r="N17" s="223">
        <f t="shared" si="7"/>
        <v>-315</v>
      </c>
      <c r="O17" s="223">
        <f t="shared" si="7"/>
        <v>-248</v>
      </c>
      <c r="P17" s="223">
        <f t="shared" si="7"/>
        <v>-2</v>
      </c>
    </row>
    <row r="18" spans="2:16" ht="12.75" customHeight="1">
      <c r="B18" s="211"/>
      <c r="C18" s="211" t="s">
        <v>85</v>
      </c>
      <c r="D18" s="211"/>
      <c r="E18" s="223">
        <f t="shared" ref="E18:P18" si="8">E25-E10</f>
        <v>440</v>
      </c>
      <c r="F18" s="223">
        <f t="shared" si="8"/>
        <v>-271</v>
      </c>
      <c r="G18" s="223">
        <f t="shared" si="8"/>
        <v>-181</v>
      </c>
      <c r="H18" s="223">
        <f t="shared" si="8"/>
        <v>-45</v>
      </c>
      <c r="I18" s="223">
        <f t="shared" si="8"/>
        <v>395</v>
      </c>
      <c r="J18" s="223">
        <f t="shared" si="8"/>
        <v>-225</v>
      </c>
      <c r="K18" s="223">
        <f t="shared" si="8"/>
        <v>-9</v>
      </c>
      <c r="L18" s="223">
        <f t="shared" si="8"/>
        <v>-9</v>
      </c>
      <c r="M18" s="223">
        <f t="shared" si="8"/>
        <v>271</v>
      </c>
      <c r="N18" s="223">
        <f t="shared" si="8"/>
        <v>-169</v>
      </c>
      <c r="O18" s="223">
        <f t="shared" si="8"/>
        <v>-161</v>
      </c>
      <c r="P18" s="223">
        <f t="shared" si="8"/>
        <v>-24</v>
      </c>
    </row>
    <row r="19" spans="2:16" ht="12.75" customHeight="1">
      <c r="B19" s="211"/>
      <c r="C19" s="211" t="s">
        <v>86</v>
      </c>
      <c r="D19" s="211"/>
      <c r="E19" s="223">
        <f t="shared" ref="E19:P19" si="9">E26-E11</f>
        <v>54</v>
      </c>
      <c r="F19" s="223">
        <f t="shared" si="9"/>
        <v>-40</v>
      </c>
      <c r="G19" s="223">
        <f t="shared" si="9"/>
        <v>-17</v>
      </c>
      <c r="H19" s="223">
        <f t="shared" si="9"/>
        <v>-10</v>
      </c>
      <c r="I19" s="223">
        <f t="shared" si="9"/>
        <v>58</v>
      </c>
      <c r="J19" s="223">
        <f t="shared" si="9"/>
        <v>-29</v>
      </c>
      <c r="K19" s="223">
        <f t="shared" si="9"/>
        <v>67</v>
      </c>
      <c r="L19" s="223">
        <f t="shared" si="9"/>
        <v>-32</v>
      </c>
      <c r="M19" s="223">
        <f t="shared" si="9"/>
        <v>18</v>
      </c>
      <c r="N19" s="223">
        <f t="shared" si="9"/>
        <v>-36</v>
      </c>
      <c r="O19" s="223">
        <f t="shared" si="9"/>
        <v>-33</v>
      </c>
      <c r="P19" s="223">
        <f t="shared" si="9"/>
        <v>-8</v>
      </c>
    </row>
    <row r="20" spans="2:16" ht="12.75" customHeight="1">
      <c r="B20" s="211"/>
      <c r="C20" s="211" t="s">
        <v>88</v>
      </c>
      <c r="D20" s="211"/>
      <c r="E20" s="229">
        <f t="shared" ref="E20" si="10">SUM(E17:E19)</f>
        <v>1121</v>
      </c>
      <c r="F20" s="229">
        <f t="shared" ref="F20:K20" si="11">SUM(F17:F19)</f>
        <v>-694</v>
      </c>
      <c r="G20" s="229">
        <f t="shared" si="11"/>
        <v>-447</v>
      </c>
      <c r="H20" s="229">
        <f t="shared" si="11"/>
        <v>-127</v>
      </c>
      <c r="I20" s="229">
        <f t="shared" si="11"/>
        <v>1001</v>
      </c>
      <c r="J20" s="229">
        <f t="shared" si="11"/>
        <v>-585</v>
      </c>
      <c r="K20" s="229">
        <f t="shared" si="11"/>
        <v>-21</v>
      </c>
      <c r="L20" s="229">
        <f t="shared" ref="L20:M20" si="12">SUM(L17:L19)</f>
        <v>-90</v>
      </c>
      <c r="M20" s="229">
        <f t="shared" si="12"/>
        <v>827</v>
      </c>
      <c r="N20" s="229">
        <f t="shared" ref="N20:O20" si="13">SUM(N17:N19)</f>
        <v>-520</v>
      </c>
      <c r="O20" s="229">
        <f t="shared" si="13"/>
        <v>-442</v>
      </c>
      <c r="P20" s="229">
        <f t="shared" ref="P20" si="14">SUM(P17:P19)</f>
        <v>-34</v>
      </c>
    </row>
    <row r="21" spans="2:16" ht="6" customHeight="1">
      <c r="B21" s="211"/>
      <c r="C21" s="211"/>
      <c r="D21" s="211"/>
      <c r="E21" s="216"/>
      <c r="F21" s="216"/>
      <c r="G21" s="216"/>
      <c r="H21" s="216"/>
      <c r="I21" s="216"/>
      <c r="J21" s="216"/>
      <c r="K21" s="216"/>
      <c r="L21" s="216"/>
      <c r="M21" s="216"/>
      <c r="N21" s="216"/>
      <c r="O21" s="216"/>
      <c r="P21" s="216"/>
    </row>
    <row r="22" spans="2:16" ht="12.75" customHeight="1">
      <c r="B22" s="211"/>
      <c r="C22" s="211"/>
      <c r="D22" s="211"/>
      <c r="E22" s="216"/>
      <c r="F22" s="216"/>
      <c r="G22" s="216"/>
      <c r="H22" s="216"/>
      <c r="I22" s="216"/>
      <c r="J22" s="216"/>
      <c r="K22" s="216"/>
      <c r="L22" s="216"/>
      <c r="M22" s="216"/>
      <c r="N22" s="216"/>
      <c r="O22" s="216"/>
      <c r="P22" s="216"/>
    </row>
    <row r="23" spans="2:16" ht="12.75" customHeight="1">
      <c r="B23" s="219" t="s">
        <v>89</v>
      </c>
      <c r="C23" s="211"/>
      <c r="D23" s="211"/>
      <c r="E23" s="223"/>
      <c r="F23" s="223"/>
      <c r="G23" s="223"/>
      <c r="H23" s="223"/>
      <c r="I23" s="223"/>
      <c r="J23" s="223"/>
      <c r="K23" s="223"/>
      <c r="L23" s="223"/>
      <c r="M23" s="223"/>
      <c r="N23" s="223"/>
      <c r="O23" s="223"/>
      <c r="P23" s="223"/>
    </row>
    <row r="24" spans="2:16" ht="12.75" customHeight="1">
      <c r="B24" s="211"/>
      <c r="C24" s="211" t="s">
        <v>84</v>
      </c>
      <c r="D24" s="211"/>
      <c r="E24" s="227">
        <v>1361</v>
      </c>
      <c r="F24" s="227">
        <v>365</v>
      </c>
      <c r="G24" s="227">
        <v>331</v>
      </c>
      <c r="H24" s="227">
        <v>288</v>
      </c>
      <c r="I24" s="227">
        <v>1266</v>
      </c>
      <c r="J24" s="227">
        <v>270</v>
      </c>
      <c r="K24" s="227">
        <v>483</v>
      </c>
      <c r="L24" s="227">
        <v>354</v>
      </c>
      <c r="M24" s="227">
        <v>1407</v>
      </c>
      <c r="N24" s="227">
        <v>423</v>
      </c>
      <c r="O24" s="227">
        <v>314</v>
      </c>
      <c r="P24" s="227">
        <v>342</v>
      </c>
    </row>
    <row r="25" spans="2:16" ht="12.75" customHeight="1">
      <c r="B25" s="211"/>
      <c r="C25" s="211" t="s">
        <v>85</v>
      </c>
      <c r="D25" s="211"/>
      <c r="E25" s="227">
        <v>1040</v>
      </c>
      <c r="F25" s="227">
        <v>323</v>
      </c>
      <c r="G25" s="227">
        <v>286</v>
      </c>
      <c r="H25" s="227">
        <v>278</v>
      </c>
      <c r="I25" s="227">
        <v>1000</v>
      </c>
      <c r="J25" s="227">
        <v>260</v>
      </c>
      <c r="K25" s="227">
        <v>394</v>
      </c>
      <c r="L25" s="227">
        <v>324</v>
      </c>
      <c r="M25" s="227">
        <v>1019</v>
      </c>
      <c r="N25" s="227">
        <v>318</v>
      </c>
      <c r="O25" s="227">
        <v>241</v>
      </c>
      <c r="P25" s="227">
        <v>266</v>
      </c>
    </row>
    <row r="26" spans="2:16" ht="12.75" customHeight="1">
      <c r="B26" s="211"/>
      <c r="C26" s="211" t="s">
        <v>86</v>
      </c>
      <c r="D26" s="211"/>
      <c r="E26" s="228">
        <v>147</v>
      </c>
      <c r="F26" s="228">
        <v>67</v>
      </c>
      <c r="G26" s="228">
        <v>82</v>
      </c>
      <c r="H26" s="228">
        <v>61</v>
      </c>
      <c r="I26" s="228">
        <v>142</v>
      </c>
      <c r="J26" s="228">
        <v>57</v>
      </c>
      <c r="K26" s="228">
        <v>177</v>
      </c>
      <c r="L26" s="228">
        <v>73</v>
      </c>
      <c r="M26" s="228">
        <v>169</v>
      </c>
      <c r="N26" s="228">
        <v>63</v>
      </c>
      <c r="O26" s="228">
        <v>53</v>
      </c>
      <c r="P26" s="228">
        <v>49</v>
      </c>
    </row>
    <row r="27" spans="2:16" ht="14.25" thickBot="1">
      <c r="B27" s="211"/>
      <c r="C27" s="211" t="s">
        <v>172</v>
      </c>
      <c r="D27" s="211"/>
      <c r="E27" s="220">
        <f t="shared" ref="E27" si="15">SUM(E24:E26)</f>
        <v>2548</v>
      </c>
      <c r="F27" s="220">
        <f t="shared" ref="F27:K27" si="16">SUM(F24:F26)</f>
        <v>755</v>
      </c>
      <c r="G27" s="220">
        <f t="shared" si="16"/>
        <v>699</v>
      </c>
      <c r="H27" s="220">
        <f t="shared" si="16"/>
        <v>627</v>
      </c>
      <c r="I27" s="220">
        <f t="shared" si="16"/>
        <v>2408</v>
      </c>
      <c r="J27" s="220">
        <f t="shared" si="16"/>
        <v>587</v>
      </c>
      <c r="K27" s="220">
        <f t="shared" si="16"/>
        <v>1054</v>
      </c>
      <c r="L27" s="220">
        <f t="shared" ref="L27:M27" si="17">SUM(L24:L26)</f>
        <v>751</v>
      </c>
      <c r="M27" s="220">
        <f t="shared" si="17"/>
        <v>2595</v>
      </c>
      <c r="N27" s="220">
        <f t="shared" ref="N27:O27" si="18">SUM(N24:N26)</f>
        <v>804</v>
      </c>
      <c r="O27" s="220">
        <f t="shared" si="18"/>
        <v>608</v>
      </c>
      <c r="P27" s="220">
        <f t="shared" ref="P27" si="19">SUM(P24:P26)</f>
        <v>657</v>
      </c>
    </row>
    <row r="28" spans="2:16" ht="12.75" customHeight="1">
      <c r="B28" s="211"/>
      <c r="C28" s="211"/>
      <c r="D28" s="211"/>
    </row>
    <row r="29" spans="2:16">
      <c r="B29" s="211"/>
      <c r="C29" s="211"/>
      <c r="D29" s="211"/>
    </row>
    <row r="30" spans="2:16" ht="13.5" customHeight="1">
      <c r="B30" s="211"/>
      <c r="C30" s="435" t="s">
        <v>297</v>
      </c>
      <c r="D30" s="435"/>
      <c r="E30" s="435"/>
      <c r="F30" s="435"/>
      <c r="G30" s="435"/>
      <c r="H30" s="435"/>
      <c r="I30" s="435"/>
      <c r="J30" s="435"/>
      <c r="K30" s="435"/>
      <c r="L30" s="435"/>
      <c r="M30" s="435"/>
      <c r="N30" s="435"/>
      <c r="O30" s="401"/>
      <c r="P30" s="402"/>
    </row>
    <row r="31" spans="2:16" ht="13.5">
      <c r="B31" s="219"/>
      <c r="C31" s="230" t="s">
        <v>174</v>
      </c>
      <c r="D31" s="211"/>
    </row>
    <row r="32" spans="2:16">
      <c r="B32" s="211"/>
      <c r="C32" s="211"/>
      <c r="D32" s="211"/>
    </row>
    <row r="33" spans="2:4">
      <c r="B33" s="211"/>
      <c r="C33" s="211"/>
      <c r="D33" s="211"/>
    </row>
    <row r="34" spans="2:4">
      <c r="B34" s="211"/>
      <c r="C34" s="211"/>
      <c r="D34" s="211"/>
    </row>
    <row r="35" spans="2:4" s="224" customFormat="1">
      <c r="B35" s="211"/>
      <c r="C35" s="211"/>
      <c r="D35" s="211"/>
    </row>
    <row r="36" spans="2:4" s="224" customFormat="1">
      <c r="B36" s="211"/>
      <c r="C36" s="211"/>
      <c r="D36" s="211"/>
    </row>
    <row r="37" spans="2:4" s="224" customFormat="1">
      <c r="B37" s="211"/>
      <c r="C37" s="211"/>
      <c r="D37" s="211"/>
    </row>
    <row r="38" spans="2:4" s="224" customFormat="1">
      <c r="B38" s="211"/>
      <c r="C38" s="211"/>
      <c r="D38" s="211"/>
    </row>
    <row r="39" spans="2:4" s="224" customFormat="1">
      <c r="B39" s="211"/>
      <c r="C39" s="211"/>
      <c r="D39" s="211"/>
    </row>
    <row r="40" spans="2:4" s="224" customFormat="1">
      <c r="B40" s="211"/>
      <c r="C40" s="211"/>
      <c r="D40" s="211"/>
    </row>
    <row r="41" spans="2:4" s="224" customFormat="1">
      <c r="B41" s="211"/>
      <c r="C41" s="211"/>
      <c r="D41" s="211"/>
    </row>
    <row r="42" spans="2:4" s="224" customFormat="1">
      <c r="B42" s="211"/>
      <c r="C42" s="211"/>
      <c r="D42" s="211"/>
    </row>
    <row r="43" spans="2:4" s="224" customFormat="1">
      <c r="B43" s="211"/>
      <c r="C43" s="211"/>
      <c r="D43" s="211"/>
    </row>
  </sheetData>
  <mergeCells count="4">
    <mergeCell ref="B1:Q1"/>
    <mergeCell ref="B2:Q2"/>
    <mergeCell ref="B3:Q3"/>
    <mergeCell ref="C30:N30"/>
  </mergeCells>
  <pageMargins left="0.7" right="0.7" top="0.25" bottom="0.44" header="0.3" footer="0.3"/>
  <pageSetup scale="83" orientation="landscape" r:id="rId1"/>
  <headerFooter>
    <oddFooter>&amp;LActivision Blizzard, Inc.&amp;R&amp;P of &amp; 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view="pageBreakPreview" zoomScaleNormal="100" zoomScaleSheetLayoutView="100" workbookViewId="0">
      <pane xSplit="4" ySplit="7" topLeftCell="E8" activePane="bottomRight" state="frozen"/>
      <selection pane="topRight"/>
      <selection pane="bottomLeft"/>
      <selection pane="bottomRight" activeCell="E8" sqref="E8"/>
    </sheetView>
  </sheetViews>
  <sheetFormatPr defaultColWidth="11.42578125" defaultRowHeight="12"/>
  <cols>
    <col min="1" max="1" width="2.85546875" style="210" customWidth="1"/>
    <col min="2" max="2" width="2" style="210" customWidth="1"/>
    <col min="3" max="3" width="2.85546875" style="210" customWidth="1"/>
    <col min="4" max="4" width="36.85546875" style="210" customWidth="1"/>
    <col min="5" max="16" width="8.5703125" style="210" customWidth="1"/>
    <col min="17" max="17" width="1.7109375" style="210" customWidth="1"/>
    <col min="18" max="16384" width="11.42578125" style="210"/>
  </cols>
  <sheetData>
    <row r="1" spans="2:17" ht="18.75" customHeight="1">
      <c r="B1" s="433" t="s">
        <v>70</v>
      </c>
      <c r="C1" s="433"/>
      <c r="D1" s="433"/>
      <c r="E1" s="433"/>
      <c r="F1" s="433"/>
      <c r="G1" s="433"/>
      <c r="H1" s="433"/>
      <c r="I1" s="433"/>
      <c r="J1" s="433"/>
      <c r="K1" s="433"/>
      <c r="L1" s="433"/>
      <c r="M1" s="433"/>
      <c r="N1" s="433"/>
      <c r="O1" s="433"/>
      <c r="P1" s="433"/>
      <c r="Q1" s="433"/>
    </row>
    <row r="2" spans="2:17">
      <c r="B2" s="433" t="s">
        <v>240</v>
      </c>
      <c r="C2" s="433"/>
      <c r="D2" s="433"/>
      <c r="E2" s="433"/>
      <c r="F2" s="433"/>
      <c r="G2" s="433"/>
      <c r="H2" s="433"/>
      <c r="I2" s="433"/>
      <c r="J2" s="433"/>
      <c r="K2" s="433"/>
      <c r="L2" s="433"/>
      <c r="M2" s="433"/>
      <c r="N2" s="433"/>
      <c r="O2" s="433"/>
      <c r="P2" s="433"/>
      <c r="Q2" s="433"/>
    </row>
    <row r="3" spans="2:17" ht="12.75" customHeight="1">
      <c r="B3" s="433" t="s">
        <v>71</v>
      </c>
      <c r="C3" s="433"/>
      <c r="D3" s="433"/>
      <c r="E3" s="433"/>
      <c r="F3" s="433"/>
      <c r="G3" s="433"/>
      <c r="H3" s="433"/>
      <c r="I3" s="433"/>
      <c r="J3" s="433"/>
      <c r="K3" s="433"/>
      <c r="L3" s="433"/>
      <c r="M3" s="433"/>
      <c r="N3" s="433"/>
      <c r="O3" s="433"/>
      <c r="P3" s="433"/>
      <c r="Q3" s="433"/>
    </row>
    <row r="6" spans="2:17" s="211" customFormat="1" ht="12.75" customHeight="1">
      <c r="E6" s="214" t="s">
        <v>6</v>
      </c>
      <c r="F6" s="214" t="s">
        <v>3</v>
      </c>
      <c r="G6" s="214" t="s">
        <v>4</v>
      </c>
      <c r="H6" s="214" t="s">
        <v>5</v>
      </c>
      <c r="I6" s="214" t="s">
        <v>6</v>
      </c>
      <c r="J6" s="214" t="s">
        <v>3</v>
      </c>
      <c r="K6" s="214" t="s">
        <v>4</v>
      </c>
      <c r="L6" s="214" t="s">
        <v>5</v>
      </c>
      <c r="M6" s="214" t="s">
        <v>6</v>
      </c>
      <c r="N6" s="214" t="s">
        <v>3</v>
      </c>
      <c r="O6" s="214" t="s">
        <v>4</v>
      </c>
      <c r="P6" s="214" t="s">
        <v>5</v>
      </c>
    </row>
    <row r="7" spans="2:17" s="211" customFormat="1" ht="12.75" customHeight="1" thickBot="1">
      <c r="E7" s="214" t="s">
        <v>40</v>
      </c>
      <c r="F7" s="214" t="s">
        <v>41</v>
      </c>
      <c r="G7" s="214" t="s">
        <v>41</v>
      </c>
      <c r="H7" s="214" t="s">
        <v>41</v>
      </c>
      <c r="I7" s="214" t="s">
        <v>41</v>
      </c>
      <c r="J7" s="214" t="s">
        <v>220</v>
      </c>
      <c r="K7" s="214" t="s">
        <v>220</v>
      </c>
      <c r="L7" s="214" t="s">
        <v>220</v>
      </c>
      <c r="M7" s="214" t="s">
        <v>220</v>
      </c>
      <c r="N7" s="214" t="s">
        <v>248</v>
      </c>
      <c r="O7" s="214" t="s">
        <v>248</v>
      </c>
      <c r="P7" s="214" t="s">
        <v>248</v>
      </c>
    </row>
    <row r="8" spans="2:17" s="226" customFormat="1">
      <c r="B8" s="219" t="s">
        <v>91</v>
      </c>
      <c r="E8" s="215"/>
      <c r="F8" s="215"/>
      <c r="G8" s="231"/>
      <c r="H8" s="231"/>
      <c r="I8" s="231"/>
      <c r="J8" s="231"/>
      <c r="K8" s="231"/>
      <c r="L8" s="231"/>
      <c r="M8" s="231"/>
      <c r="N8" s="231"/>
      <c r="O8" s="231"/>
      <c r="P8" s="231"/>
    </row>
    <row r="9" spans="2:17" ht="12" customHeight="1">
      <c r="B9" s="211" t="s">
        <v>92</v>
      </c>
      <c r="C9" s="211"/>
      <c r="D9" s="211"/>
      <c r="E9" s="395"/>
      <c r="F9" s="395"/>
      <c r="G9" s="395"/>
      <c r="H9" s="395"/>
      <c r="I9" s="395"/>
      <c r="J9" s="395"/>
      <c r="K9" s="395"/>
      <c r="L9" s="395"/>
      <c r="M9" s="395"/>
      <c r="N9" s="395"/>
      <c r="O9" s="395"/>
      <c r="P9" s="395"/>
    </row>
    <row r="10" spans="2:17" ht="12" customHeight="1">
      <c r="B10" s="211"/>
      <c r="C10" s="211" t="s">
        <v>99</v>
      </c>
      <c r="D10" s="211"/>
      <c r="E10" s="232">
        <v>340</v>
      </c>
      <c r="F10" s="232">
        <v>395</v>
      </c>
      <c r="G10" s="232">
        <v>359</v>
      </c>
      <c r="H10" s="232">
        <v>336</v>
      </c>
      <c r="I10" s="232">
        <v>268</v>
      </c>
      <c r="J10" s="232">
        <v>256</v>
      </c>
      <c r="K10" s="232">
        <v>220</v>
      </c>
      <c r="L10" s="232">
        <v>226</v>
      </c>
      <c r="M10" s="232">
        <v>285</v>
      </c>
      <c r="N10" s="232">
        <v>275</v>
      </c>
      <c r="O10" s="232">
        <v>233</v>
      </c>
      <c r="P10" s="232">
        <v>205</v>
      </c>
    </row>
    <row r="11" spans="2:17" ht="12" customHeight="1">
      <c r="B11" s="211"/>
      <c r="C11" s="211" t="s">
        <v>252</v>
      </c>
      <c r="D11" s="211"/>
      <c r="E11" s="299">
        <v>113</v>
      </c>
      <c r="F11" s="299">
        <v>118</v>
      </c>
      <c r="G11" s="225">
        <v>76</v>
      </c>
      <c r="H11" s="225">
        <v>40</v>
      </c>
      <c r="I11" s="225">
        <v>47</v>
      </c>
      <c r="J11" s="225">
        <v>47</v>
      </c>
      <c r="K11" s="225">
        <v>151</v>
      </c>
      <c r="L11" s="225">
        <v>272</v>
      </c>
      <c r="M11" s="225">
        <v>206</v>
      </c>
      <c r="N11" s="225">
        <v>93</v>
      </c>
      <c r="O11" s="225">
        <v>100</v>
      </c>
      <c r="P11" s="225">
        <v>79</v>
      </c>
    </row>
    <row r="12" spans="2:17" ht="12" customHeight="1">
      <c r="B12" s="211"/>
      <c r="C12" s="211"/>
      <c r="D12" s="211" t="s">
        <v>228</v>
      </c>
      <c r="E12" s="225">
        <v>259</v>
      </c>
      <c r="F12" s="225">
        <v>342</v>
      </c>
      <c r="G12" s="225">
        <v>239</v>
      </c>
      <c r="H12" s="225">
        <v>96</v>
      </c>
      <c r="I12" s="225">
        <v>259</v>
      </c>
      <c r="J12" s="225">
        <v>300</v>
      </c>
      <c r="K12" s="225">
        <v>234</v>
      </c>
      <c r="L12" s="225">
        <v>81</v>
      </c>
      <c r="M12" s="225">
        <v>259</v>
      </c>
      <c r="N12" s="225">
        <v>343</v>
      </c>
      <c r="O12" s="225">
        <v>265</v>
      </c>
      <c r="P12" s="225">
        <v>119</v>
      </c>
    </row>
    <row r="13" spans="2:17" ht="12" customHeight="1">
      <c r="B13" s="211"/>
      <c r="C13" s="211"/>
      <c r="D13" s="211" t="s">
        <v>229</v>
      </c>
      <c r="E13" s="225">
        <v>6</v>
      </c>
      <c r="F13" s="225">
        <v>4</v>
      </c>
      <c r="G13" s="225">
        <v>2</v>
      </c>
      <c r="H13" s="225">
        <v>4</v>
      </c>
      <c r="I13" s="225">
        <v>3</v>
      </c>
      <c r="J13" s="225">
        <v>2</v>
      </c>
      <c r="K13" s="225">
        <v>0</v>
      </c>
      <c r="L13" s="225">
        <v>0</v>
      </c>
      <c r="M13" s="225">
        <v>0</v>
      </c>
      <c r="N13" s="225">
        <v>0</v>
      </c>
      <c r="O13" s="225">
        <v>0</v>
      </c>
      <c r="P13" s="225">
        <v>0</v>
      </c>
    </row>
    <row r="14" spans="2:17" ht="12" customHeight="1">
      <c r="B14" s="211"/>
      <c r="C14" s="211"/>
      <c r="D14" s="211" t="s">
        <v>94</v>
      </c>
      <c r="E14" s="225">
        <v>281</v>
      </c>
      <c r="F14" s="225">
        <v>396</v>
      </c>
      <c r="G14" s="225">
        <v>300</v>
      </c>
      <c r="H14" s="225">
        <v>144</v>
      </c>
      <c r="I14" s="225">
        <v>300</v>
      </c>
      <c r="J14" s="225">
        <v>335</v>
      </c>
      <c r="K14" s="225">
        <v>248</v>
      </c>
      <c r="L14" s="225">
        <v>121</v>
      </c>
      <c r="M14" s="225">
        <v>314</v>
      </c>
      <c r="N14" s="225">
        <v>383</v>
      </c>
      <c r="O14" s="225">
        <v>307</v>
      </c>
      <c r="P14" s="225">
        <v>160</v>
      </c>
    </row>
    <row r="15" spans="2:17" ht="12" customHeight="1">
      <c r="B15" s="211"/>
      <c r="C15" s="211"/>
      <c r="D15" s="211" t="s">
        <v>234</v>
      </c>
      <c r="E15" s="233">
        <v>141</v>
      </c>
      <c r="F15" s="233">
        <v>82</v>
      </c>
      <c r="G15" s="233">
        <v>70</v>
      </c>
      <c r="H15" s="233">
        <v>33</v>
      </c>
      <c r="I15" s="233">
        <v>166</v>
      </c>
      <c r="J15" s="233">
        <v>51</v>
      </c>
      <c r="K15" s="233">
        <v>32</v>
      </c>
      <c r="L15" s="233">
        <v>25</v>
      </c>
      <c r="M15" s="233">
        <v>183</v>
      </c>
      <c r="N15" s="233">
        <v>23</v>
      </c>
      <c r="O15" s="233">
        <v>18</v>
      </c>
      <c r="P15" s="233">
        <v>17</v>
      </c>
    </row>
    <row r="16" spans="2:17">
      <c r="B16" s="211"/>
      <c r="C16" s="211" t="s">
        <v>192</v>
      </c>
      <c r="D16" s="211"/>
      <c r="E16" s="225">
        <f t="shared" ref="E16" si="0">SUM(E12:E15)</f>
        <v>687</v>
      </c>
      <c r="F16" s="225">
        <f t="shared" ref="F16:K16" si="1">SUM(F12:F15)</f>
        <v>824</v>
      </c>
      <c r="G16" s="225">
        <f t="shared" si="1"/>
        <v>611</v>
      </c>
      <c r="H16" s="225">
        <f t="shared" si="1"/>
        <v>277</v>
      </c>
      <c r="I16" s="225">
        <f t="shared" si="1"/>
        <v>728</v>
      </c>
      <c r="J16" s="225">
        <f t="shared" si="1"/>
        <v>688</v>
      </c>
      <c r="K16" s="225">
        <f t="shared" si="1"/>
        <v>514</v>
      </c>
      <c r="L16" s="225">
        <f t="shared" ref="L16:M16" si="2">SUM(L12:L15)</f>
        <v>227</v>
      </c>
      <c r="M16" s="225">
        <f t="shared" si="2"/>
        <v>756</v>
      </c>
      <c r="N16" s="225">
        <f t="shared" ref="N16:O16" si="3">SUM(N12:N15)</f>
        <v>749</v>
      </c>
      <c r="O16" s="225">
        <f t="shared" si="3"/>
        <v>590</v>
      </c>
      <c r="P16" s="225">
        <f t="shared" ref="P16" si="4">SUM(P12:P15)</f>
        <v>296</v>
      </c>
    </row>
    <row r="17" spans="1:16" s="211" customFormat="1" ht="13.5">
      <c r="C17" s="211" t="s">
        <v>251</v>
      </c>
      <c r="E17" s="299">
        <v>94</v>
      </c>
      <c r="F17" s="299">
        <v>37</v>
      </c>
      <c r="G17" s="225">
        <v>37</v>
      </c>
      <c r="H17" s="225">
        <v>24</v>
      </c>
      <c r="I17" s="225">
        <v>161</v>
      </c>
      <c r="J17" s="225">
        <v>116</v>
      </c>
      <c r="K17" s="225">
        <v>143</v>
      </c>
      <c r="L17" s="225">
        <v>62</v>
      </c>
      <c r="M17" s="225">
        <v>381</v>
      </c>
      <c r="N17" s="225">
        <v>156</v>
      </c>
      <c r="O17" s="225">
        <v>90</v>
      </c>
      <c r="P17" s="225">
        <v>55</v>
      </c>
    </row>
    <row r="18" spans="1:16" s="211" customFormat="1">
      <c r="C18" s="211" t="s">
        <v>95</v>
      </c>
      <c r="E18" s="234">
        <f t="shared" ref="E18:N18" si="5">E10+E11+E16+E17</f>
        <v>1234</v>
      </c>
      <c r="F18" s="234">
        <f t="shared" si="5"/>
        <v>1374</v>
      </c>
      <c r="G18" s="234">
        <f t="shared" si="5"/>
        <v>1083</v>
      </c>
      <c r="H18" s="234">
        <f t="shared" si="5"/>
        <v>677</v>
      </c>
      <c r="I18" s="234">
        <f t="shared" si="5"/>
        <v>1204</v>
      </c>
      <c r="J18" s="234">
        <f t="shared" si="5"/>
        <v>1107</v>
      </c>
      <c r="K18" s="234">
        <f t="shared" si="5"/>
        <v>1028</v>
      </c>
      <c r="L18" s="234">
        <f t="shared" si="5"/>
        <v>787</v>
      </c>
      <c r="M18" s="234">
        <f t="shared" si="5"/>
        <v>1628</v>
      </c>
      <c r="N18" s="234">
        <f t="shared" si="5"/>
        <v>1273</v>
      </c>
      <c r="O18" s="234">
        <f t="shared" ref="O18:P18" si="6">O10+O11+O16+O17</f>
        <v>1013</v>
      </c>
      <c r="P18" s="234">
        <f t="shared" si="6"/>
        <v>635</v>
      </c>
    </row>
    <row r="19" spans="1:16" s="211" customFormat="1">
      <c r="E19" s="225"/>
      <c r="F19" s="225"/>
      <c r="G19" s="225"/>
      <c r="H19" s="225"/>
      <c r="I19" s="225"/>
      <c r="J19" s="225"/>
      <c r="K19" s="225"/>
      <c r="L19" s="225"/>
      <c r="M19" s="225"/>
      <c r="N19" s="225"/>
      <c r="O19" s="225"/>
      <c r="P19" s="225"/>
    </row>
    <row r="20" spans="1:16" s="211" customFormat="1">
      <c r="C20" s="211" t="s">
        <v>96</v>
      </c>
      <c r="E20" s="233">
        <v>193</v>
      </c>
      <c r="F20" s="233">
        <v>75</v>
      </c>
      <c r="G20" s="233">
        <v>63</v>
      </c>
      <c r="H20" s="233">
        <v>77</v>
      </c>
      <c r="I20" s="233">
        <v>203</v>
      </c>
      <c r="J20" s="233">
        <v>65</v>
      </c>
      <c r="K20" s="233">
        <v>47</v>
      </c>
      <c r="L20" s="233">
        <v>54</v>
      </c>
      <c r="M20" s="233">
        <v>140</v>
      </c>
      <c r="N20" s="233">
        <v>51</v>
      </c>
      <c r="O20" s="233">
        <v>37</v>
      </c>
      <c r="P20" s="233">
        <v>56</v>
      </c>
    </row>
    <row r="21" spans="1:16" s="211" customFormat="1" ht="12.75" thickBot="1">
      <c r="A21" s="289"/>
      <c r="B21" s="289"/>
      <c r="C21" s="289" t="s">
        <v>90</v>
      </c>
      <c r="D21" s="289"/>
      <c r="E21" s="253">
        <f>SUM(E18:E20)</f>
        <v>1427</v>
      </c>
      <c r="F21" s="253">
        <f t="shared" ref="F21:P21" si="7">SUM(F18:F20)</f>
        <v>1449</v>
      </c>
      <c r="G21" s="253">
        <f t="shared" si="7"/>
        <v>1146</v>
      </c>
      <c r="H21" s="253">
        <f t="shared" si="7"/>
        <v>754</v>
      </c>
      <c r="I21" s="253">
        <f t="shared" si="7"/>
        <v>1407</v>
      </c>
      <c r="J21" s="253">
        <f t="shared" si="7"/>
        <v>1172</v>
      </c>
      <c r="K21" s="253">
        <f t="shared" si="7"/>
        <v>1075</v>
      </c>
      <c r="L21" s="253">
        <f t="shared" si="7"/>
        <v>841</v>
      </c>
      <c r="M21" s="253">
        <f t="shared" si="7"/>
        <v>1768</v>
      </c>
      <c r="N21" s="253">
        <f t="shared" si="7"/>
        <v>1324</v>
      </c>
      <c r="O21" s="253">
        <f t="shared" si="7"/>
        <v>1050</v>
      </c>
      <c r="P21" s="253">
        <f t="shared" si="7"/>
        <v>691</v>
      </c>
    </row>
    <row r="22" spans="1:16" s="211" customFormat="1">
      <c r="E22" s="225"/>
      <c r="F22" s="225"/>
      <c r="G22" s="225"/>
      <c r="H22" s="225"/>
      <c r="I22" s="225"/>
      <c r="J22" s="225"/>
      <c r="K22" s="225"/>
      <c r="L22" s="225"/>
      <c r="M22" s="225"/>
      <c r="N22" s="225"/>
      <c r="O22" s="225"/>
      <c r="P22" s="225"/>
    </row>
    <row r="23" spans="1:16" ht="13.5">
      <c r="B23" s="219" t="s">
        <v>296</v>
      </c>
      <c r="C23" s="211"/>
      <c r="D23" s="211"/>
      <c r="E23" s="235"/>
      <c r="F23" s="236"/>
      <c r="G23" s="236"/>
      <c r="H23" s="236"/>
      <c r="I23" s="236"/>
      <c r="J23" s="236"/>
      <c r="K23" s="236"/>
      <c r="L23" s="236"/>
      <c r="M23" s="236"/>
      <c r="N23" s="236"/>
      <c r="O23" s="236"/>
      <c r="P23" s="236"/>
    </row>
    <row r="24" spans="1:16" s="211" customFormat="1" ht="12" customHeight="1">
      <c r="B24" s="211" t="s">
        <v>92</v>
      </c>
      <c r="E24" s="238"/>
      <c r="F24" s="238"/>
      <c r="G24" s="238"/>
      <c r="H24" s="238"/>
      <c r="I24" s="238"/>
      <c r="J24" s="238"/>
      <c r="K24" s="238"/>
      <c r="L24" s="238"/>
      <c r="M24" s="238"/>
      <c r="N24" s="238"/>
      <c r="O24" s="238"/>
      <c r="P24" s="238"/>
    </row>
    <row r="25" spans="1:16" s="211" customFormat="1" ht="12" customHeight="1">
      <c r="C25" s="211" t="s">
        <v>99</v>
      </c>
      <c r="E25" s="239">
        <f t="shared" ref="E25:P25" si="8">E37-E10</f>
        <v>204</v>
      </c>
      <c r="F25" s="239">
        <f t="shared" si="8"/>
        <v>-56</v>
      </c>
      <c r="G25" s="239">
        <f t="shared" si="8"/>
        <v>-67</v>
      </c>
      <c r="H25" s="239">
        <f t="shared" si="8"/>
        <v>-62</v>
      </c>
      <c r="I25" s="239">
        <f t="shared" si="8"/>
        <v>-18</v>
      </c>
      <c r="J25" s="239">
        <f t="shared" si="8"/>
        <v>-6</v>
      </c>
      <c r="K25" s="239">
        <f t="shared" si="8"/>
        <v>-21</v>
      </c>
      <c r="L25" s="239">
        <f t="shared" si="8"/>
        <v>119</v>
      </c>
      <c r="M25" s="239">
        <f t="shared" si="8"/>
        <v>-8</v>
      </c>
      <c r="N25" s="239">
        <f t="shared" si="8"/>
        <v>-47</v>
      </c>
      <c r="O25" s="239">
        <f t="shared" si="8"/>
        <v>-39</v>
      </c>
      <c r="P25" s="239">
        <f t="shared" si="8"/>
        <v>-24</v>
      </c>
    </row>
    <row r="26" spans="1:16" s="211" customFormat="1" ht="12" customHeight="1">
      <c r="C26" s="211" t="s">
        <v>225</v>
      </c>
      <c r="E26" s="239">
        <f t="shared" ref="E26:P26" si="9">E38-E11</f>
        <v>0</v>
      </c>
      <c r="F26" s="239">
        <f t="shared" si="9"/>
        <v>-86</v>
      </c>
      <c r="G26" s="239">
        <f t="shared" si="9"/>
        <v>-34</v>
      </c>
      <c r="H26" s="239">
        <f t="shared" si="9"/>
        <v>-4</v>
      </c>
      <c r="I26" s="239">
        <f t="shared" si="9"/>
        <v>52</v>
      </c>
      <c r="J26" s="239">
        <f t="shared" si="9"/>
        <v>-20</v>
      </c>
      <c r="K26" s="239">
        <f t="shared" si="9"/>
        <v>314</v>
      </c>
      <c r="L26" s="239">
        <f t="shared" si="9"/>
        <v>-165</v>
      </c>
      <c r="M26" s="239">
        <f t="shared" si="9"/>
        <v>-90</v>
      </c>
      <c r="N26" s="239">
        <f t="shared" si="9"/>
        <v>28</v>
      </c>
      <c r="O26" s="239">
        <f t="shared" si="9"/>
        <v>-57</v>
      </c>
      <c r="P26" s="239">
        <f t="shared" si="9"/>
        <v>-38</v>
      </c>
    </row>
    <row r="27" spans="1:16" s="211" customFormat="1" ht="10.5" customHeight="1">
      <c r="D27" s="211" t="s">
        <v>93</v>
      </c>
      <c r="E27" s="239">
        <f t="shared" ref="E27:P27" si="10">E39-E12</f>
        <v>393</v>
      </c>
      <c r="F27" s="239">
        <f t="shared" si="10"/>
        <v>-244</v>
      </c>
      <c r="G27" s="239">
        <f t="shared" si="10"/>
        <v>-156</v>
      </c>
      <c r="H27" s="239">
        <f t="shared" si="10"/>
        <v>-18</v>
      </c>
      <c r="I27" s="239">
        <f t="shared" si="10"/>
        <v>453</v>
      </c>
      <c r="J27" s="239">
        <f t="shared" si="10"/>
        <v>-263</v>
      </c>
      <c r="K27" s="239">
        <f t="shared" si="10"/>
        <v>-137</v>
      </c>
      <c r="L27" s="239">
        <f t="shared" si="10"/>
        <v>-12</v>
      </c>
      <c r="M27" s="239">
        <f t="shared" si="10"/>
        <v>441</v>
      </c>
      <c r="N27" s="239">
        <f t="shared" si="10"/>
        <v>-249</v>
      </c>
      <c r="O27" s="239">
        <f t="shared" si="10"/>
        <v>-166</v>
      </c>
      <c r="P27" s="239">
        <f t="shared" si="10"/>
        <v>15</v>
      </c>
    </row>
    <row r="28" spans="1:16" s="211" customFormat="1" ht="12" customHeight="1">
      <c r="D28" s="211" t="s">
        <v>94</v>
      </c>
      <c r="E28" s="239">
        <f t="shared" ref="E28:P28" si="11">E41-E14</f>
        <v>441</v>
      </c>
      <c r="F28" s="239">
        <f t="shared" si="11"/>
        <v>-259</v>
      </c>
      <c r="G28" s="239">
        <f t="shared" si="11"/>
        <v>-146</v>
      </c>
      <c r="H28" s="239">
        <f t="shared" si="11"/>
        <v>-36</v>
      </c>
      <c r="I28" s="239">
        <f t="shared" si="11"/>
        <v>483</v>
      </c>
      <c r="J28" s="239">
        <f t="shared" si="11"/>
        <v>-277</v>
      </c>
      <c r="K28" s="239">
        <f t="shared" si="11"/>
        <v>-162</v>
      </c>
      <c r="L28" s="239">
        <f t="shared" si="11"/>
        <v>-30</v>
      </c>
      <c r="M28" s="239">
        <f t="shared" si="11"/>
        <v>467</v>
      </c>
      <c r="N28" s="239">
        <f t="shared" si="11"/>
        <v>-247</v>
      </c>
      <c r="O28" s="239">
        <f t="shared" si="11"/>
        <v>-175</v>
      </c>
      <c r="P28" s="239">
        <f t="shared" si="11"/>
        <v>16</v>
      </c>
    </row>
    <row r="29" spans="1:16" s="211" customFormat="1">
      <c r="D29" s="211" t="s">
        <v>234</v>
      </c>
      <c r="E29" s="239">
        <f t="shared" ref="E29:P29" si="12">E42-E15</f>
        <v>75</v>
      </c>
      <c r="F29" s="239">
        <f t="shared" si="12"/>
        <v>-46</v>
      </c>
      <c r="G29" s="239">
        <f t="shared" si="12"/>
        <v>-39</v>
      </c>
      <c r="H29" s="239">
        <f t="shared" si="12"/>
        <v>-5</v>
      </c>
      <c r="I29" s="239">
        <f t="shared" si="12"/>
        <v>24</v>
      </c>
      <c r="J29" s="239">
        <f t="shared" si="12"/>
        <v>-14</v>
      </c>
      <c r="K29" s="239">
        <f t="shared" si="12"/>
        <v>-12</v>
      </c>
      <c r="L29" s="239">
        <f t="shared" si="12"/>
        <v>-2</v>
      </c>
      <c r="M29" s="239">
        <f t="shared" si="12"/>
        <v>16</v>
      </c>
      <c r="N29" s="239">
        <f t="shared" si="12"/>
        <v>-5</v>
      </c>
      <c r="O29" s="239">
        <f t="shared" si="12"/>
        <v>-5</v>
      </c>
      <c r="P29" s="239">
        <f t="shared" si="12"/>
        <v>-3</v>
      </c>
    </row>
    <row r="30" spans="1:16" s="211" customFormat="1">
      <c r="C30" s="211" t="s">
        <v>192</v>
      </c>
      <c r="E30" s="240">
        <f t="shared" ref="E30" si="13">SUM(E27:E29)</f>
        <v>909</v>
      </c>
      <c r="F30" s="240">
        <f t="shared" ref="F30:K30" si="14">SUM(F27:F29)</f>
        <v>-549</v>
      </c>
      <c r="G30" s="240">
        <f t="shared" si="14"/>
        <v>-341</v>
      </c>
      <c r="H30" s="240">
        <f t="shared" si="14"/>
        <v>-59</v>
      </c>
      <c r="I30" s="240">
        <f t="shared" si="14"/>
        <v>960</v>
      </c>
      <c r="J30" s="240">
        <f t="shared" si="14"/>
        <v>-554</v>
      </c>
      <c r="K30" s="240">
        <f t="shared" si="14"/>
        <v>-311</v>
      </c>
      <c r="L30" s="240">
        <f t="shared" ref="L30:M30" si="15">SUM(L27:L29)</f>
        <v>-44</v>
      </c>
      <c r="M30" s="240">
        <f t="shared" si="15"/>
        <v>924</v>
      </c>
      <c r="N30" s="240">
        <f t="shared" ref="N30:O30" si="16">SUM(N27:N29)</f>
        <v>-501</v>
      </c>
      <c r="O30" s="240">
        <f t="shared" si="16"/>
        <v>-346</v>
      </c>
      <c r="P30" s="240">
        <f t="shared" ref="P30" si="17">SUM(P27:P29)</f>
        <v>28</v>
      </c>
    </row>
    <row r="31" spans="1:16" s="211" customFormat="1" ht="13.5">
      <c r="C31" s="289" t="s">
        <v>251</v>
      </c>
      <c r="D31" s="289"/>
      <c r="E31" s="241">
        <f t="shared" ref="E31:P31" si="18">E44-E17</f>
        <v>8</v>
      </c>
      <c r="F31" s="241">
        <f t="shared" si="18"/>
        <v>-3</v>
      </c>
      <c r="G31" s="241">
        <f t="shared" si="18"/>
        <v>-5</v>
      </c>
      <c r="H31" s="241">
        <f t="shared" si="18"/>
        <v>-2</v>
      </c>
      <c r="I31" s="241">
        <f t="shared" si="18"/>
        <v>7</v>
      </c>
      <c r="J31" s="241">
        <f t="shared" si="18"/>
        <v>-3</v>
      </c>
      <c r="K31" s="241">
        <f t="shared" si="18"/>
        <v>-3</v>
      </c>
      <c r="L31" s="241">
        <f t="shared" si="18"/>
        <v>0</v>
      </c>
      <c r="M31" s="241">
        <f t="shared" si="18"/>
        <v>1</v>
      </c>
      <c r="N31" s="241">
        <f t="shared" si="18"/>
        <v>0</v>
      </c>
      <c r="O31" s="241">
        <f t="shared" si="18"/>
        <v>0</v>
      </c>
      <c r="P31" s="241">
        <f t="shared" si="18"/>
        <v>0</v>
      </c>
    </row>
    <row r="32" spans="1:16" s="211" customFormat="1">
      <c r="C32" s="211" t="s">
        <v>298</v>
      </c>
      <c r="E32" s="241">
        <f t="shared" ref="E32:L32" si="19">E25+E26+E30+E31</f>
        <v>1121</v>
      </c>
      <c r="F32" s="241">
        <f t="shared" si="19"/>
        <v>-694</v>
      </c>
      <c r="G32" s="241">
        <f t="shared" si="19"/>
        <v>-447</v>
      </c>
      <c r="H32" s="241">
        <f t="shared" si="19"/>
        <v>-127</v>
      </c>
      <c r="I32" s="241">
        <f t="shared" si="19"/>
        <v>1001</v>
      </c>
      <c r="J32" s="241">
        <f t="shared" si="19"/>
        <v>-583</v>
      </c>
      <c r="K32" s="241">
        <f t="shared" si="19"/>
        <v>-21</v>
      </c>
      <c r="L32" s="241">
        <f t="shared" si="19"/>
        <v>-90</v>
      </c>
      <c r="M32" s="241">
        <f t="shared" ref="M32:N32" si="20">M25+M26+M30+M31</f>
        <v>827</v>
      </c>
      <c r="N32" s="241">
        <f t="shared" si="20"/>
        <v>-520</v>
      </c>
      <c r="O32" s="241">
        <f t="shared" ref="O32:P32" si="21">O25+O26+O30+O31</f>
        <v>-442</v>
      </c>
      <c r="P32" s="241">
        <f t="shared" si="21"/>
        <v>-34</v>
      </c>
    </row>
    <row r="33" spans="2:16" s="211" customFormat="1" ht="4.5" customHeight="1">
      <c r="E33" s="239"/>
      <c r="F33" s="239"/>
      <c r="G33" s="239"/>
      <c r="H33" s="239"/>
      <c r="I33" s="239"/>
      <c r="J33" s="239"/>
      <c r="K33" s="239"/>
      <c r="L33" s="239"/>
      <c r="M33" s="239"/>
      <c r="N33" s="239"/>
      <c r="O33" s="239"/>
      <c r="P33" s="239"/>
    </row>
    <row r="34" spans="2:16" s="211" customFormat="1">
      <c r="E34" s="239"/>
      <c r="F34" s="239"/>
      <c r="G34" s="239"/>
      <c r="H34" s="239"/>
      <c r="I34" s="239"/>
      <c r="J34" s="239"/>
      <c r="K34" s="239"/>
      <c r="L34" s="239"/>
      <c r="M34" s="239"/>
      <c r="N34" s="239"/>
      <c r="O34" s="239"/>
      <c r="P34" s="239"/>
    </row>
    <row r="35" spans="2:16">
      <c r="B35" s="219" t="s">
        <v>97</v>
      </c>
      <c r="C35" s="211"/>
      <c r="D35" s="211"/>
      <c r="E35" s="238"/>
      <c r="F35" s="237"/>
      <c r="G35" s="237"/>
      <c r="H35" s="237"/>
      <c r="I35" s="237"/>
      <c r="J35" s="237"/>
      <c r="K35" s="237"/>
      <c r="L35" s="237"/>
      <c r="M35" s="237"/>
      <c r="N35" s="237"/>
      <c r="O35" s="237"/>
      <c r="P35" s="237"/>
    </row>
    <row r="36" spans="2:16" s="211" customFormat="1" ht="12" customHeight="1">
      <c r="B36" s="211" t="s">
        <v>92</v>
      </c>
      <c r="E36" s="237"/>
      <c r="F36" s="237"/>
      <c r="G36" s="237"/>
      <c r="H36" s="237"/>
      <c r="I36" s="237"/>
      <c r="J36" s="237"/>
      <c r="K36" s="237"/>
      <c r="L36" s="237"/>
      <c r="M36" s="237"/>
      <c r="N36" s="237"/>
      <c r="O36" s="237"/>
      <c r="P36" s="237"/>
    </row>
    <row r="37" spans="2:16" s="211" customFormat="1" ht="12" customHeight="1">
      <c r="C37" s="211" t="s">
        <v>99</v>
      </c>
      <c r="E37" s="239">
        <v>544</v>
      </c>
      <c r="F37" s="239">
        <v>339</v>
      </c>
      <c r="G37" s="239">
        <v>292</v>
      </c>
      <c r="H37" s="239">
        <v>274</v>
      </c>
      <c r="I37" s="239">
        <v>250</v>
      </c>
      <c r="J37" s="239">
        <v>250</v>
      </c>
      <c r="K37" s="239">
        <v>199</v>
      </c>
      <c r="L37" s="239">
        <v>345</v>
      </c>
      <c r="M37" s="239">
        <v>277</v>
      </c>
      <c r="N37" s="239">
        <v>228</v>
      </c>
      <c r="O37" s="239">
        <v>194</v>
      </c>
      <c r="P37" s="239">
        <v>181</v>
      </c>
    </row>
    <row r="38" spans="2:16" s="211" customFormat="1" ht="12" customHeight="1">
      <c r="C38" s="211" t="s">
        <v>252</v>
      </c>
      <c r="E38" s="299">
        <v>113</v>
      </c>
      <c r="F38" s="225">
        <v>32</v>
      </c>
      <c r="G38" s="225">
        <v>42</v>
      </c>
      <c r="H38" s="225">
        <v>36</v>
      </c>
      <c r="I38" s="225">
        <v>99</v>
      </c>
      <c r="J38" s="225">
        <v>27</v>
      </c>
      <c r="K38" s="225">
        <v>465</v>
      </c>
      <c r="L38" s="225">
        <v>107</v>
      </c>
      <c r="M38" s="225">
        <v>116</v>
      </c>
      <c r="N38" s="225">
        <v>121</v>
      </c>
      <c r="O38" s="225">
        <v>43</v>
      </c>
      <c r="P38" s="225">
        <v>41</v>
      </c>
    </row>
    <row r="39" spans="2:16" s="211" customFormat="1" ht="14.25" customHeight="1">
      <c r="D39" s="211" t="s">
        <v>228</v>
      </c>
      <c r="E39" s="225">
        <v>652</v>
      </c>
      <c r="F39" s="225">
        <v>98</v>
      </c>
      <c r="G39" s="225">
        <v>83</v>
      </c>
      <c r="H39" s="225">
        <v>78</v>
      </c>
      <c r="I39" s="225">
        <v>712</v>
      </c>
      <c r="J39" s="225">
        <v>37</v>
      </c>
      <c r="K39" s="225">
        <v>97</v>
      </c>
      <c r="L39" s="225">
        <v>69</v>
      </c>
      <c r="M39" s="225">
        <v>700</v>
      </c>
      <c r="N39" s="225">
        <v>94</v>
      </c>
      <c r="O39" s="225">
        <v>99</v>
      </c>
      <c r="P39" s="225">
        <v>134</v>
      </c>
    </row>
    <row r="40" spans="2:16" s="211" customFormat="1" ht="14.25" customHeight="1">
      <c r="D40" s="211" t="s">
        <v>229</v>
      </c>
      <c r="E40" s="225">
        <v>6</v>
      </c>
      <c r="F40" s="225">
        <v>4</v>
      </c>
      <c r="G40" s="225">
        <v>2</v>
      </c>
      <c r="H40" s="225">
        <v>4</v>
      </c>
      <c r="I40" s="225">
        <v>3</v>
      </c>
      <c r="J40" s="225">
        <v>2</v>
      </c>
      <c r="K40" s="225">
        <v>0</v>
      </c>
      <c r="L40" s="225">
        <v>0</v>
      </c>
      <c r="M40" s="225">
        <v>0</v>
      </c>
      <c r="N40" s="225">
        <v>0</v>
      </c>
      <c r="O40" s="225">
        <v>0</v>
      </c>
      <c r="P40" s="225">
        <v>0</v>
      </c>
    </row>
    <row r="41" spans="2:16" s="211" customFormat="1">
      <c r="D41" s="211" t="s">
        <v>94</v>
      </c>
      <c r="E41" s="225">
        <v>722</v>
      </c>
      <c r="F41" s="225">
        <v>137</v>
      </c>
      <c r="G41" s="225">
        <v>154</v>
      </c>
      <c r="H41" s="225">
        <v>108</v>
      </c>
      <c r="I41" s="225">
        <v>783</v>
      </c>
      <c r="J41" s="225">
        <v>58</v>
      </c>
      <c r="K41" s="225">
        <v>86</v>
      </c>
      <c r="L41" s="225">
        <v>91</v>
      </c>
      <c r="M41" s="225">
        <v>781</v>
      </c>
      <c r="N41" s="225">
        <v>136</v>
      </c>
      <c r="O41" s="225">
        <v>132</v>
      </c>
      <c r="P41" s="225">
        <v>176</v>
      </c>
    </row>
    <row r="42" spans="2:16" s="211" customFormat="1">
      <c r="D42" s="211" t="s">
        <v>234</v>
      </c>
      <c r="E42" s="233">
        <v>216</v>
      </c>
      <c r="F42" s="233">
        <v>36</v>
      </c>
      <c r="G42" s="233">
        <v>31</v>
      </c>
      <c r="H42" s="233">
        <v>28</v>
      </c>
      <c r="I42" s="233">
        <v>190</v>
      </c>
      <c r="J42" s="233">
        <v>37</v>
      </c>
      <c r="K42" s="233">
        <v>20</v>
      </c>
      <c r="L42" s="233">
        <v>23</v>
      </c>
      <c r="M42" s="233">
        <v>199</v>
      </c>
      <c r="N42" s="233">
        <v>18</v>
      </c>
      <c r="O42" s="233">
        <v>13</v>
      </c>
      <c r="P42" s="233">
        <v>14</v>
      </c>
    </row>
    <row r="43" spans="2:16" s="211" customFormat="1">
      <c r="C43" s="211" t="s">
        <v>192</v>
      </c>
      <c r="E43" s="225">
        <f t="shared" ref="E43" si="22">SUM(E39:E42)</f>
        <v>1596</v>
      </c>
      <c r="F43" s="225">
        <f t="shared" ref="F43:K43" si="23">SUM(F39:F42)</f>
        <v>275</v>
      </c>
      <c r="G43" s="225">
        <f t="shared" si="23"/>
        <v>270</v>
      </c>
      <c r="H43" s="225">
        <f t="shared" si="23"/>
        <v>218</v>
      </c>
      <c r="I43" s="225">
        <f t="shared" si="23"/>
        <v>1688</v>
      </c>
      <c r="J43" s="225">
        <f t="shared" si="23"/>
        <v>134</v>
      </c>
      <c r="K43" s="225">
        <f t="shared" si="23"/>
        <v>203</v>
      </c>
      <c r="L43" s="225">
        <f t="shared" ref="L43:M43" si="24">SUM(L39:L42)</f>
        <v>183</v>
      </c>
      <c r="M43" s="225">
        <f t="shared" si="24"/>
        <v>1680</v>
      </c>
      <c r="N43" s="225">
        <f t="shared" ref="N43:O43" si="25">SUM(N39:N42)</f>
        <v>248</v>
      </c>
      <c r="O43" s="225">
        <f t="shared" si="25"/>
        <v>244</v>
      </c>
      <c r="P43" s="225">
        <f t="shared" ref="P43" si="26">SUM(P39:P42)</f>
        <v>324</v>
      </c>
    </row>
    <row r="44" spans="2:16" s="211" customFormat="1" ht="13.5">
      <c r="C44" s="289" t="s">
        <v>251</v>
      </c>
      <c r="D44" s="289"/>
      <c r="E44" s="397">
        <v>102</v>
      </c>
      <c r="F44" s="213">
        <v>34</v>
      </c>
      <c r="G44" s="213">
        <v>32</v>
      </c>
      <c r="H44" s="213">
        <v>22</v>
      </c>
      <c r="I44" s="213">
        <v>168</v>
      </c>
      <c r="J44" s="213">
        <v>113</v>
      </c>
      <c r="K44" s="213">
        <v>140</v>
      </c>
      <c r="L44" s="213">
        <v>62</v>
      </c>
      <c r="M44" s="213">
        <v>382</v>
      </c>
      <c r="N44" s="213">
        <v>156</v>
      </c>
      <c r="O44" s="213">
        <v>90</v>
      </c>
      <c r="P44" s="213">
        <v>55</v>
      </c>
    </row>
    <row r="45" spans="2:16" s="211" customFormat="1">
      <c r="C45" s="211" t="s">
        <v>98</v>
      </c>
      <c r="E45" s="234">
        <f t="shared" ref="E45:N45" si="27">E37+E38+E43+E44</f>
        <v>2355</v>
      </c>
      <c r="F45" s="234">
        <f t="shared" si="27"/>
        <v>680</v>
      </c>
      <c r="G45" s="234">
        <f t="shared" si="27"/>
        <v>636</v>
      </c>
      <c r="H45" s="234">
        <f t="shared" si="27"/>
        <v>550</v>
      </c>
      <c r="I45" s="234">
        <f t="shared" si="27"/>
        <v>2205</v>
      </c>
      <c r="J45" s="234">
        <f t="shared" si="27"/>
        <v>524</v>
      </c>
      <c r="K45" s="234">
        <f t="shared" si="27"/>
        <v>1007</v>
      </c>
      <c r="L45" s="234">
        <f t="shared" si="27"/>
        <v>697</v>
      </c>
      <c r="M45" s="234">
        <f t="shared" si="27"/>
        <v>2455</v>
      </c>
      <c r="N45" s="234">
        <f t="shared" si="27"/>
        <v>753</v>
      </c>
      <c r="O45" s="234">
        <f t="shared" ref="O45:P45" si="28">O37+O38+O43+O44</f>
        <v>571</v>
      </c>
      <c r="P45" s="234">
        <f t="shared" si="28"/>
        <v>601</v>
      </c>
    </row>
    <row r="46" spans="2:16" s="211" customFormat="1">
      <c r="E46" s="225"/>
      <c r="F46" s="225"/>
      <c r="G46" s="225"/>
      <c r="H46" s="225"/>
      <c r="I46" s="225"/>
      <c r="J46" s="225"/>
      <c r="K46" s="225"/>
      <c r="L46" s="225"/>
      <c r="M46" s="225"/>
      <c r="N46" s="225"/>
      <c r="O46" s="225"/>
      <c r="P46" s="225"/>
    </row>
    <row r="47" spans="2:16" s="211" customFormat="1">
      <c r="C47" s="211" t="s">
        <v>96</v>
      </c>
      <c r="E47" s="233">
        <v>193</v>
      </c>
      <c r="F47" s="233">
        <v>75</v>
      </c>
      <c r="G47" s="233">
        <v>63</v>
      </c>
      <c r="H47" s="233">
        <v>77</v>
      </c>
      <c r="I47" s="233">
        <v>203</v>
      </c>
      <c r="J47" s="233">
        <v>65</v>
      </c>
      <c r="K47" s="233">
        <v>47</v>
      </c>
      <c r="L47" s="233">
        <v>54</v>
      </c>
      <c r="M47" s="233">
        <v>140</v>
      </c>
      <c r="N47" s="233">
        <v>51</v>
      </c>
      <c r="O47" s="233">
        <v>37</v>
      </c>
      <c r="P47" s="233">
        <v>56</v>
      </c>
    </row>
    <row r="48" spans="2:16" s="211" customFormat="1" ht="14.25" thickBot="1">
      <c r="C48" s="211" t="s">
        <v>172</v>
      </c>
      <c r="E48" s="254">
        <f t="shared" ref="E48" si="29">E45+E47</f>
        <v>2548</v>
      </c>
      <c r="F48" s="254">
        <f t="shared" ref="F48:K48" si="30">F45+F47</f>
        <v>755</v>
      </c>
      <c r="G48" s="254">
        <f t="shared" si="30"/>
        <v>699</v>
      </c>
      <c r="H48" s="254">
        <f t="shared" si="30"/>
        <v>627</v>
      </c>
      <c r="I48" s="254">
        <f t="shared" si="30"/>
        <v>2408</v>
      </c>
      <c r="J48" s="317">
        <f t="shared" si="30"/>
        <v>589</v>
      </c>
      <c r="K48" s="254">
        <f t="shared" si="30"/>
        <v>1054</v>
      </c>
      <c r="L48" s="254">
        <f t="shared" ref="L48:M48" si="31">L45+L47</f>
        <v>751</v>
      </c>
      <c r="M48" s="254">
        <f t="shared" si="31"/>
        <v>2595</v>
      </c>
      <c r="N48" s="254">
        <f t="shared" ref="N48:O48" si="32">N45+N47</f>
        <v>804</v>
      </c>
      <c r="O48" s="254">
        <f t="shared" si="32"/>
        <v>608</v>
      </c>
      <c r="P48" s="254">
        <f t="shared" ref="P48" si="33">P45+P47</f>
        <v>657</v>
      </c>
    </row>
    <row r="49" spans="2:17" s="211" customFormat="1">
      <c r="E49" s="216"/>
      <c r="F49" s="216"/>
      <c r="G49" s="216"/>
      <c r="H49" s="216"/>
      <c r="I49" s="216"/>
      <c r="J49" s="216"/>
      <c r="K49" s="216"/>
      <c r="L49" s="216"/>
      <c r="M49" s="216"/>
      <c r="N49" s="216"/>
      <c r="O49" s="216"/>
      <c r="P49" s="216"/>
      <c r="Q49" s="216"/>
    </row>
    <row r="50" spans="2:17">
      <c r="B50" s="211"/>
      <c r="C50" s="211"/>
      <c r="D50" s="211"/>
      <c r="E50" s="396"/>
      <c r="F50" s="396"/>
      <c r="G50" s="396"/>
      <c r="H50" s="396"/>
      <c r="I50" s="396"/>
      <c r="J50" s="396"/>
      <c r="K50" s="396"/>
      <c r="L50" s="396"/>
      <c r="M50" s="396"/>
      <c r="N50" s="396"/>
      <c r="O50" s="396"/>
      <c r="P50" s="396"/>
    </row>
    <row r="51" spans="2:17" ht="13.5" customHeight="1">
      <c r="B51" s="211"/>
      <c r="C51" s="422" t="s">
        <v>173</v>
      </c>
      <c r="D51" s="422"/>
      <c r="E51" s="422"/>
      <c r="F51" s="422"/>
      <c r="G51" s="422"/>
      <c r="H51" s="422"/>
      <c r="I51" s="422"/>
      <c r="J51" s="422"/>
      <c r="K51" s="422"/>
      <c r="L51" s="422"/>
      <c r="M51" s="422"/>
      <c r="N51" s="422"/>
      <c r="O51" s="422"/>
      <c r="P51" s="422"/>
      <c r="Q51" s="422"/>
    </row>
    <row r="52" spans="2:17" ht="13.5">
      <c r="B52" s="211"/>
      <c r="C52" s="230" t="s">
        <v>174</v>
      </c>
      <c r="D52" s="211"/>
    </row>
    <row r="53" spans="2:17" s="288" customFormat="1" ht="13.5">
      <c r="B53" s="289"/>
      <c r="C53" s="400" t="s">
        <v>254</v>
      </c>
      <c r="D53" s="289"/>
    </row>
    <row r="54" spans="2:17" s="288" customFormat="1">
      <c r="B54" s="289"/>
      <c r="C54" s="289" t="s">
        <v>253</v>
      </c>
      <c r="D54" s="289"/>
    </row>
    <row r="55" spans="2:17" s="288" customFormat="1" ht="13.5">
      <c r="B55" s="289"/>
      <c r="C55" s="400" t="s">
        <v>230</v>
      </c>
      <c r="D55" s="289"/>
    </row>
    <row r="56" spans="2:17">
      <c r="B56" s="211"/>
      <c r="C56" s="210" t="s">
        <v>255</v>
      </c>
    </row>
    <row r="57" spans="2:17">
      <c r="B57" s="211"/>
      <c r="C57" s="210" t="s">
        <v>286</v>
      </c>
    </row>
    <row r="58" spans="2:17">
      <c r="B58" s="211"/>
      <c r="C58" s="210" t="s">
        <v>287</v>
      </c>
    </row>
    <row r="59" spans="2:17">
      <c r="B59" s="211"/>
      <c r="C59" s="211" t="s">
        <v>215</v>
      </c>
      <c r="D59" s="211"/>
    </row>
    <row r="60" spans="2:17">
      <c r="B60" s="211"/>
      <c r="C60" s="211"/>
      <c r="D60" s="211"/>
    </row>
    <row r="61" spans="2:17">
      <c r="B61" s="211"/>
      <c r="C61" s="211"/>
      <c r="D61" s="211"/>
    </row>
    <row r="62" spans="2:17">
      <c r="B62" s="211"/>
      <c r="C62" s="211"/>
      <c r="D62" s="211"/>
    </row>
    <row r="63" spans="2:17">
      <c r="B63" s="211"/>
      <c r="C63" s="211"/>
      <c r="D63" s="211"/>
    </row>
    <row r="64" spans="2:17">
      <c r="B64" s="211"/>
      <c r="C64" s="211"/>
      <c r="D64" s="211"/>
    </row>
    <row r="65" spans="2:4">
      <c r="B65" s="211"/>
      <c r="C65" s="211"/>
      <c r="D65" s="211"/>
    </row>
    <row r="66" spans="2:4">
      <c r="B66" s="211"/>
      <c r="C66" s="211"/>
      <c r="D66" s="211"/>
    </row>
    <row r="67" spans="2:4">
      <c r="B67" s="211"/>
      <c r="C67" s="211"/>
      <c r="D67" s="211"/>
    </row>
    <row r="68" spans="2:4">
      <c r="B68" s="211"/>
      <c r="C68" s="211"/>
      <c r="D68" s="211"/>
    </row>
    <row r="69" spans="2:4">
      <c r="B69" s="211"/>
      <c r="C69" s="211"/>
      <c r="D69" s="211"/>
    </row>
    <row r="70" spans="2:4">
      <c r="B70" s="211"/>
      <c r="C70" s="211"/>
      <c r="D70" s="211"/>
    </row>
    <row r="71" spans="2:4">
      <c r="B71" s="211"/>
      <c r="C71" s="211"/>
      <c r="D71" s="211"/>
    </row>
    <row r="72" spans="2:4">
      <c r="B72" s="211"/>
      <c r="C72" s="211"/>
      <c r="D72" s="211"/>
    </row>
    <row r="73" spans="2:4">
      <c r="B73" s="211"/>
      <c r="C73" s="211"/>
      <c r="D73" s="211"/>
    </row>
    <row r="74" spans="2:4">
      <c r="B74" s="211"/>
      <c r="C74" s="211"/>
      <c r="D74" s="211"/>
    </row>
    <row r="75" spans="2:4">
      <c r="B75" s="211"/>
      <c r="C75" s="211"/>
      <c r="D75" s="211"/>
    </row>
    <row r="76" spans="2:4">
      <c r="B76" s="211"/>
      <c r="C76" s="211"/>
      <c r="D76" s="211"/>
    </row>
  </sheetData>
  <mergeCells count="3">
    <mergeCell ref="B1:Q1"/>
    <mergeCell ref="B2:Q2"/>
    <mergeCell ref="B3:Q3"/>
  </mergeCells>
  <pageMargins left="0.7" right="0.7" top="0.25" bottom="0.44" header="0.3" footer="0.3"/>
  <pageSetup scale="80" orientation="landscape" r:id="rId1"/>
  <headerFooter>
    <oddFooter>&amp;LActivision Blizzard, Inc.&amp;R&amp;P of &amp; 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2.85546875" style="63" customWidth="1"/>
    <col min="2" max="2" width="42" style="247" customWidth="1"/>
    <col min="3" max="14" width="9.140625" style="63"/>
    <col min="15" max="15" width="1.7109375" style="63" customWidth="1"/>
    <col min="16" max="16384" width="9.140625" style="63"/>
  </cols>
  <sheetData>
    <row r="1" spans="1:17" ht="15" customHeight="1">
      <c r="A1" s="436" t="s">
        <v>141</v>
      </c>
      <c r="B1" s="436"/>
      <c r="C1" s="436"/>
      <c r="D1" s="436"/>
      <c r="E1" s="436"/>
      <c r="F1" s="436"/>
      <c r="G1" s="436"/>
      <c r="H1" s="436"/>
      <c r="I1" s="436"/>
      <c r="J1" s="436"/>
      <c r="K1" s="436"/>
      <c r="L1" s="436"/>
      <c r="M1" s="436"/>
      <c r="N1" s="436"/>
      <c r="O1" s="436"/>
    </row>
    <row r="2" spans="1:17" ht="15" customHeight="1">
      <c r="A2" s="436" t="s">
        <v>240</v>
      </c>
      <c r="B2" s="436"/>
      <c r="C2" s="436"/>
      <c r="D2" s="436"/>
      <c r="E2" s="436"/>
      <c r="F2" s="436"/>
      <c r="G2" s="436"/>
      <c r="H2" s="436"/>
      <c r="I2" s="436"/>
      <c r="J2" s="436"/>
      <c r="K2" s="436"/>
      <c r="L2" s="436"/>
      <c r="M2" s="436"/>
      <c r="N2" s="436"/>
      <c r="O2" s="436"/>
    </row>
    <row r="3" spans="1:17" ht="15" customHeight="1">
      <c r="A3" s="436" t="s">
        <v>71</v>
      </c>
      <c r="B3" s="436"/>
      <c r="C3" s="436"/>
      <c r="D3" s="436"/>
      <c r="E3" s="436"/>
      <c r="F3" s="436"/>
      <c r="G3" s="436"/>
      <c r="H3" s="436"/>
      <c r="I3" s="436"/>
      <c r="J3" s="436"/>
      <c r="K3" s="436"/>
      <c r="L3" s="436"/>
      <c r="M3" s="436"/>
      <c r="N3" s="436"/>
      <c r="O3" s="436"/>
    </row>
    <row r="6" spans="1:17" ht="15.75" customHeight="1">
      <c r="B6" s="248"/>
      <c r="C6" s="214" t="s">
        <v>6</v>
      </c>
      <c r="D6" s="214" t="s">
        <v>3</v>
      </c>
      <c r="E6" s="214" t="s">
        <v>4</v>
      </c>
      <c r="F6" s="214" t="s">
        <v>5</v>
      </c>
      <c r="G6" s="214" t="s">
        <v>6</v>
      </c>
      <c r="H6" s="214" t="s">
        <v>3</v>
      </c>
      <c r="I6" s="214" t="s">
        <v>4</v>
      </c>
      <c r="J6" s="214" t="s">
        <v>5</v>
      </c>
      <c r="K6" s="214" t="s">
        <v>6</v>
      </c>
      <c r="L6" s="214" t="s">
        <v>3</v>
      </c>
      <c r="M6" s="214" t="s">
        <v>4</v>
      </c>
      <c r="N6" s="214" t="s">
        <v>5</v>
      </c>
    </row>
    <row r="7" spans="1:17" ht="12.75" thickBot="1">
      <c r="B7" s="248"/>
      <c r="C7" s="214" t="s">
        <v>40</v>
      </c>
      <c r="D7" s="214" t="s">
        <v>41</v>
      </c>
      <c r="E7" s="214" t="s">
        <v>41</v>
      </c>
      <c r="F7" s="214" t="s">
        <v>41</v>
      </c>
      <c r="G7" s="214" t="s">
        <v>41</v>
      </c>
      <c r="H7" s="214" t="s">
        <v>220</v>
      </c>
      <c r="I7" s="214" t="s">
        <v>220</v>
      </c>
      <c r="J7" s="214" t="s">
        <v>220</v>
      </c>
      <c r="K7" s="214" t="s">
        <v>220</v>
      </c>
      <c r="L7" s="214" t="s">
        <v>248</v>
      </c>
      <c r="M7" s="214" t="s">
        <v>248</v>
      </c>
      <c r="N7" s="214" t="s">
        <v>248</v>
      </c>
    </row>
    <row r="8" spans="1:17">
      <c r="B8" s="249" t="s">
        <v>180</v>
      </c>
      <c r="C8" s="250"/>
      <c r="D8" s="250"/>
      <c r="E8" s="250"/>
      <c r="F8" s="250"/>
      <c r="G8" s="250"/>
      <c r="H8" s="250"/>
      <c r="I8" s="250"/>
      <c r="J8" s="250"/>
      <c r="K8" s="250"/>
      <c r="L8" s="250"/>
      <c r="M8" s="250"/>
      <c r="N8" s="250"/>
    </row>
    <row r="9" spans="1:17">
      <c r="B9" s="251" t="s">
        <v>175</v>
      </c>
      <c r="C9" s="256">
        <v>820</v>
      </c>
      <c r="D9" s="256">
        <v>946</v>
      </c>
      <c r="E9" s="256">
        <v>660</v>
      </c>
      <c r="F9" s="256">
        <v>250</v>
      </c>
      <c r="G9" s="256">
        <v>841</v>
      </c>
      <c r="H9" s="256">
        <v>793</v>
      </c>
      <c r="I9" s="256">
        <v>685</v>
      </c>
      <c r="J9" s="256">
        <v>357</v>
      </c>
      <c r="K9" s="256">
        <v>1177</v>
      </c>
      <c r="L9" s="256">
        <v>896</v>
      </c>
      <c r="M9" s="256">
        <v>626</v>
      </c>
      <c r="N9" s="256">
        <v>226</v>
      </c>
    </row>
    <row r="10" spans="1:17">
      <c r="B10" s="251" t="s">
        <v>176</v>
      </c>
      <c r="C10" s="335">
        <v>414</v>
      </c>
      <c r="D10" s="335">
        <v>428</v>
      </c>
      <c r="E10" s="335">
        <v>423</v>
      </c>
      <c r="F10" s="335">
        <v>427</v>
      </c>
      <c r="G10" s="335">
        <v>363</v>
      </c>
      <c r="H10" s="335">
        <v>314</v>
      </c>
      <c r="I10" s="335">
        <v>343</v>
      </c>
      <c r="J10" s="335">
        <v>430</v>
      </c>
      <c r="K10" s="335">
        <v>451</v>
      </c>
      <c r="L10" s="335">
        <v>377</v>
      </c>
      <c r="M10" s="335">
        <v>387</v>
      </c>
      <c r="N10" s="335">
        <v>409</v>
      </c>
      <c r="O10" s="345"/>
    </row>
    <row r="11" spans="1:17">
      <c r="B11" s="251" t="s">
        <v>98</v>
      </c>
      <c r="C11" s="257">
        <f t="shared" ref="C11:F11" si="0">+C10+C9</f>
        <v>1234</v>
      </c>
      <c r="D11" s="257">
        <f t="shared" si="0"/>
        <v>1374</v>
      </c>
      <c r="E11" s="257">
        <f t="shared" si="0"/>
        <v>1083</v>
      </c>
      <c r="F11" s="257">
        <f t="shared" si="0"/>
        <v>677</v>
      </c>
      <c r="G11" s="257">
        <f t="shared" ref="G11:H11" si="1">+G10+G9</f>
        <v>1204</v>
      </c>
      <c r="H11" s="257">
        <f t="shared" si="1"/>
        <v>1107</v>
      </c>
      <c r="I11" s="257">
        <f t="shared" ref="I11:J11" si="2">+I10+I9</f>
        <v>1028</v>
      </c>
      <c r="J11" s="257">
        <f t="shared" si="2"/>
        <v>787</v>
      </c>
      <c r="K11" s="257">
        <f t="shared" ref="K11:L11" si="3">+K10+K9</f>
        <v>1628</v>
      </c>
      <c r="L11" s="257">
        <f t="shared" si="3"/>
        <v>1273</v>
      </c>
      <c r="M11" s="257">
        <f t="shared" ref="M11:N11" si="4">+M10+M9</f>
        <v>1013</v>
      </c>
      <c r="N11" s="257">
        <f t="shared" si="4"/>
        <v>635</v>
      </c>
      <c r="O11" s="345"/>
    </row>
    <row r="12" spans="1:17">
      <c r="B12" s="251"/>
      <c r="C12" s="256"/>
      <c r="D12" s="376"/>
      <c r="E12" s="256"/>
      <c r="F12" s="256"/>
      <c r="G12" s="256"/>
      <c r="H12" s="256"/>
      <c r="I12" s="256"/>
      <c r="J12" s="256"/>
      <c r="K12" s="256"/>
      <c r="L12" s="256"/>
      <c r="M12" s="256"/>
      <c r="N12" s="256"/>
      <c r="O12" s="376"/>
    </row>
    <row r="13" spans="1:17">
      <c r="B13" s="251" t="s">
        <v>177</v>
      </c>
      <c r="C13" s="335">
        <v>193</v>
      </c>
      <c r="D13" s="335">
        <v>75</v>
      </c>
      <c r="E13" s="335">
        <v>63</v>
      </c>
      <c r="F13" s="335">
        <v>77</v>
      </c>
      <c r="G13" s="335">
        <v>203</v>
      </c>
      <c r="H13" s="335">
        <v>65</v>
      </c>
      <c r="I13" s="335">
        <v>47</v>
      </c>
      <c r="J13" s="335">
        <v>54</v>
      </c>
      <c r="K13" s="335">
        <v>140</v>
      </c>
      <c r="L13" s="335">
        <v>51</v>
      </c>
      <c r="M13" s="335">
        <v>37</v>
      </c>
      <c r="N13" s="335">
        <v>56</v>
      </c>
      <c r="O13" s="345"/>
    </row>
    <row r="14" spans="1:17" ht="12.75" thickBot="1">
      <c r="B14" s="251" t="s">
        <v>87</v>
      </c>
      <c r="C14" s="336">
        <f t="shared" ref="C14:F14" si="5">+C13+C11</f>
        <v>1427</v>
      </c>
      <c r="D14" s="336">
        <f t="shared" si="5"/>
        <v>1449</v>
      </c>
      <c r="E14" s="336">
        <f t="shared" si="5"/>
        <v>1146</v>
      </c>
      <c r="F14" s="336">
        <f t="shared" si="5"/>
        <v>754</v>
      </c>
      <c r="G14" s="336">
        <f t="shared" ref="G14:H14" si="6">+G13+G11</f>
        <v>1407</v>
      </c>
      <c r="H14" s="336">
        <f t="shared" si="6"/>
        <v>1172</v>
      </c>
      <c r="I14" s="336">
        <f t="shared" ref="I14:J14" si="7">+I13+I11</f>
        <v>1075</v>
      </c>
      <c r="J14" s="336">
        <f t="shared" si="7"/>
        <v>841</v>
      </c>
      <c r="K14" s="336">
        <f t="shared" ref="K14:L14" si="8">+K13+K11</f>
        <v>1768</v>
      </c>
      <c r="L14" s="336">
        <f t="shared" si="8"/>
        <v>1324</v>
      </c>
      <c r="M14" s="336">
        <f t="shared" ref="M14:N14" si="9">+M13+M11</f>
        <v>1050</v>
      </c>
      <c r="N14" s="336">
        <f t="shared" si="9"/>
        <v>691</v>
      </c>
      <c r="O14" s="345"/>
    </row>
    <row r="15" spans="1:17">
      <c r="B15" s="251"/>
      <c r="C15" s="410"/>
      <c r="D15" s="410"/>
      <c r="E15" s="410"/>
      <c r="F15" s="410"/>
      <c r="G15" s="410"/>
      <c r="H15" s="410"/>
      <c r="I15" s="410"/>
      <c r="J15" s="410"/>
      <c r="K15" s="410"/>
      <c r="L15" s="410"/>
      <c r="M15" s="410"/>
      <c r="N15" s="410"/>
      <c r="O15" s="376"/>
    </row>
    <row r="16" spans="1:17">
      <c r="B16" s="249" t="s">
        <v>299</v>
      </c>
      <c r="C16" s="352"/>
      <c r="D16" s="256"/>
      <c r="E16" s="256"/>
      <c r="F16" s="256"/>
      <c r="G16" s="256"/>
      <c r="H16" s="256"/>
      <c r="I16" s="256"/>
      <c r="J16" s="256"/>
      <c r="K16" s="256"/>
      <c r="L16" s="256"/>
      <c r="M16" s="256"/>
      <c r="N16" s="256"/>
      <c r="O16" s="345"/>
      <c r="Q16" s="345"/>
    </row>
    <row r="17" spans="2:19">
      <c r="B17" s="251" t="s">
        <v>175</v>
      </c>
      <c r="C17" s="256">
        <f t="shared" ref="C17" si="10">C22-C9</f>
        <v>1065</v>
      </c>
      <c r="D17" s="256">
        <f t="shared" ref="D17:F17" si="11">D22-D9</f>
        <v>-706</v>
      </c>
      <c r="E17" s="256">
        <f t="shared" si="11"/>
        <v>-448</v>
      </c>
      <c r="F17" s="256">
        <f t="shared" si="11"/>
        <v>-86</v>
      </c>
      <c r="G17" s="256">
        <f t="shared" ref="G17:H17" si="12">G22-G9</f>
        <v>1055</v>
      </c>
      <c r="H17" s="256">
        <f t="shared" si="12"/>
        <v>-569</v>
      </c>
      <c r="I17" s="256">
        <f t="shared" ref="I17:J17" si="13">I22-I9</f>
        <v>-175</v>
      </c>
      <c r="J17" s="256">
        <f t="shared" si="13"/>
        <v>-87</v>
      </c>
      <c r="K17" s="256">
        <f t="shared" ref="K17:L17" si="14">K22-K9</f>
        <v>900</v>
      </c>
      <c r="L17" s="256">
        <f t="shared" si="14"/>
        <v>-572</v>
      </c>
      <c r="M17" s="256">
        <f t="shared" ref="M17:N17" si="15">M22-M9</f>
        <v>-438</v>
      </c>
      <c r="N17" s="256">
        <f t="shared" si="15"/>
        <v>-24</v>
      </c>
      <c r="O17" s="345"/>
      <c r="Q17" s="345"/>
      <c r="S17" s="345"/>
    </row>
    <row r="18" spans="2:19">
      <c r="B18" s="251" t="s">
        <v>176</v>
      </c>
      <c r="C18" s="257">
        <f t="shared" ref="C18" si="16">C23-C10</f>
        <v>56</v>
      </c>
      <c r="D18" s="257">
        <f t="shared" ref="D18:F18" si="17">D23-D10</f>
        <v>12</v>
      </c>
      <c r="E18" s="257">
        <f t="shared" si="17"/>
        <v>1</v>
      </c>
      <c r="F18" s="257">
        <f t="shared" si="17"/>
        <v>-41</v>
      </c>
      <c r="G18" s="257">
        <f t="shared" ref="G18:H18" si="18">G23-G10</f>
        <v>-54</v>
      </c>
      <c r="H18" s="257">
        <f t="shared" si="18"/>
        <v>-16</v>
      </c>
      <c r="I18" s="257">
        <f t="shared" ref="I18:J18" si="19">I23-I10</f>
        <v>154</v>
      </c>
      <c r="J18" s="257">
        <f t="shared" si="19"/>
        <v>-3</v>
      </c>
      <c r="K18" s="257">
        <f t="shared" ref="K18:L18" si="20">K23-K10</f>
        <v>-73</v>
      </c>
      <c r="L18" s="257">
        <f t="shared" si="20"/>
        <v>52</v>
      </c>
      <c r="M18" s="257">
        <f t="shared" ref="M18:N18" si="21">M23-M10</f>
        <v>-4</v>
      </c>
      <c r="N18" s="257">
        <f t="shared" si="21"/>
        <v>-10</v>
      </c>
      <c r="O18" s="345"/>
      <c r="Q18" s="345"/>
      <c r="S18" s="345"/>
    </row>
    <row r="19" spans="2:19">
      <c r="B19" s="251" t="s">
        <v>300</v>
      </c>
      <c r="C19" s="258">
        <f t="shared" ref="C19:F19" si="22">SUM(C17:C18)</f>
        <v>1121</v>
      </c>
      <c r="D19" s="258">
        <f t="shared" si="22"/>
        <v>-694</v>
      </c>
      <c r="E19" s="258">
        <f t="shared" si="22"/>
        <v>-447</v>
      </c>
      <c r="F19" s="258">
        <f t="shared" si="22"/>
        <v>-127</v>
      </c>
      <c r="G19" s="258">
        <f t="shared" ref="G19:H19" si="23">SUM(G17:G18)</f>
        <v>1001</v>
      </c>
      <c r="H19" s="258">
        <f t="shared" si="23"/>
        <v>-585</v>
      </c>
      <c r="I19" s="258">
        <f t="shared" ref="I19:J19" si="24">SUM(I17:I18)</f>
        <v>-21</v>
      </c>
      <c r="J19" s="258">
        <f t="shared" si="24"/>
        <v>-90</v>
      </c>
      <c r="K19" s="258">
        <f t="shared" ref="K19:L19" si="25">SUM(K17:K18)</f>
        <v>827</v>
      </c>
      <c r="L19" s="258">
        <f t="shared" si="25"/>
        <v>-520</v>
      </c>
      <c r="M19" s="258">
        <f t="shared" ref="M19:N19" si="26">SUM(M17:M18)</f>
        <v>-442</v>
      </c>
      <c r="N19" s="258">
        <f t="shared" si="26"/>
        <v>-34</v>
      </c>
      <c r="O19" s="345"/>
      <c r="S19" s="345"/>
    </row>
    <row r="20" spans="2:19">
      <c r="B20" s="251"/>
      <c r="C20" s="257"/>
      <c r="D20" s="257"/>
      <c r="E20" s="257"/>
      <c r="F20" s="257"/>
      <c r="G20" s="257"/>
      <c r="H20" s="257"/>
      <c r="I20" s="257"/>
      <c r="J20" s="257"/>
      <c r="K20" s="257"/>
      <c r="L20" s="257"/>
      <c r="M20" s="257"/>
      <c r="N20" s="257"/>
      <c r="O20" s="345"/>
    </row>
    <row r="21" spans="2:19">
      <c r="B21" s="249" t="s">
        <v>181</v>
      </c>
      <c r="C21" s="256"/>
      <c r="D21" s="256"/>
      <c r="E21" s="256"/>
      <c r="F21" s="256"/>
      <c r="G21" s="256"/>
      <c r="H21" s="256"/>
      <c r="I21" s="256"/>
      <c r="J21" s="256"/>
      <c r="K21" s="256"/>
      <c r="L21" s="256"/>
      <c r="M21" s="256"/>
      <c r="N21" s="256"/>
      <c r="O21" s="345"/>
    </row>
    <row r="22" spans="2:19">
      <c r="B22" s="251" t="s">
        <v>175</v>
      </c>
      <c r="C22" s="256">
        <f>1879+6</f>
        <v>1885</v>
      </c>
      <c r="D22" s="256">
        <v>240</v>
      </c>
      <c r="E22" s="256">
        <v>212</v>
      </c>
      <c r="F22" s="256">
        <v>164</v>
      </c>
      <c r="G22" s="256">
        <v>1896</v>
      </c>
      <c r="H22" s="256">
        <v>224</v>
      </c>
      <c r="I22" s="256">
        <v>510</v>
      </c>
      <c r="J22" s="256">
        <v>270</v>
      </c>
      <c r="K22" s="256">
        <v>2077</v>
      </c>
      <c r="L22" s="256">
        <v>324</v>
      </c>
      <c r="M22" s="256">
        <v>188</v>
      </c>
      <c r="N22" s="256">
        <v>202</v>
      </c>
      <c r="O22" s="345"/>
    </row>
    <row r="23" spans="2:19">
      <c r="B23" s="251" t="s">
        <v>176</v>
      </c>
      <c r="C23" s="335">
        <f>476-6</f>
        <v>470</v>
      </c>
      <c r="D23" s="335">
        <v>440</v>
      </c>
      <c r="E23" s="335">
        <v>424</v>
      </c>
      <c r="F23" s="335">
        <v>386</v>
      </c>
      <c r="G23" s="335">
        <v>309</v>
      </c>
      <c r="H23" s="335">
        <v>298</v>
      </c>
      <c r="I23" s="335">
        <v>497</v>
      </c>
      <c r="J23" s="335">
        <v>427</v>
      </c>
      <c r="K23" s="335">
        <v>378</v>
      </c>
      <c r="L23" s="335">
        <v>429</v>
      </c>
      <c r="M23" s="335">
        <v>383</v>
      </c>
      <c r="N23" s="335">
        <v>399</v>
      </c>
      <c r="O23" s="345"/>
    </row>
    <row r="24" spans="2:19">
      <c r="B24" s="251" t="s">
        <v>98</v>
      </c>
      <c r="C24" s="257">
        <f t="shared" ref="C24:F24" si="27">+C23+C22</f>
        <v>2355</v>
      </c>
      <c r="D24" s="257">
        <f t="shared" si="27"/>
        <v>680</v>
      </c>
      <c r="E24" s="257">
        <f t="shared" si="27"/>
        <v>636</v>
      </c>
      <c r="F24" s="257">
        <f t="shared" si="27"/>
        <v>550</v>
      </c>
      <c r="G24" s="257">
        <f t="shared" ref="G24:H24" si="28">+G23+G22</f>
        <v>2205</v>
      </c>
      <c r="H24" s="257">
        <f t="shared" si="28"/>
        <v>522</v>
      </c>
      <c r="I24" s="257">
        <f t="shared" ref="I24:J24" si="29">+I23+I22</f>
        <v>1007</v>
      </c>
      <c r="J24" s="257">
        <f t="shared" si="29"/>
        <v>697</v>
      </c>
      <c r="K24" s="257">
        <f t="shared" ref="K24:L24" si="30">+K23+K22</f>
        <v>2455</v>
      </c>
      <c r="L24" s="257">
        <f t="shared" si="30"/>
        <v>753</v>
      </c>
      <c r="M24" s="257">
        <f t="shared" ref="M24:N24" si="31">+M23+M22</f>
        <v>571</v>
      </c>
      <c r="N24" s="257">
        <f t="shared" si="31"/>
        <v>601</v>
      </c>
      <c r="O24" s="345"/>
    </row>
    <row r="25" spans="2:19">
      <c r="B25" s="251"/>
      <c r="C25" s="256"/>
      <c r="D25" s="376"/>
      <c r="E25" s="256"/>
      <c r="F25" s="256"/>
      <c r="G25" s="256"/>
      <c r="H25" s="256"/>
      <c r="I25" s="256"/>
      <c r="J25" s="256"/>
      <c r="K25" s="256"/>
      <c r="L25" s="256"/>
      <c r="M25" s="256"/>
      <c r="N25" s="256"/>
      <c r="O25" s="376"/>
    </row>
    <row r="26" spans="2:19">
      <c r="B26" s="251" t="s">
        <v>177</v>
      </c>
      <c r="C26" s="257">
        <v>193</v>
      </c>
      <c r="D26" s="257">
        <v>75</v>
      </c>
      <c r="E26" s="257">
        <v>63</v>
      </c>
      <c r="F26" s="257">
        <v>77</v>
      </c>
      <c r="G26" s="257">
        <v>203</v>
      </c>
      <c r="H26" s="257">
        <v>65</v>
      </c>
      <c r="I26" s="257">
        <v>47</v>
      </c>
      <c r="J26" s="257">
        <v>54</v>
      </c>
      <c r="K26" s="257">
        <v>140</v>
      </c>
      <c r="L26" s="257">
        <v>51</v>
      </c>
      <c r="M26" s="257">
        <v>37</v>
      </c>
      <c r="N26" s="257">
        <v>56</v>
      </c>
    </row>
    <row r="27" spans="2:19" ht="12.75" thickBot="1">
      <c r="B27" s="251" t="s">
        <v>178</v>
      </c>
      <c r="C27" s="336">
        <f t="shared" ref="C27:F27" si="32">+C26+C24</f>
        <v>2548</v>
      </c>
      <c r="D27" s="336">
        <f t="shared" si="32"/>
        <v>755</v>
      </c>
      <c r="E27" s="336">
        <f t="shared" si="32"/>
        <v>699</v>
      </c>
      <c r="F27" s="336">
        <f t="shared" si="32"/>
        <v>627</v>
      </c>
      <c r="G27" s="336">
        <f t="shared" ref="G27:H27" si="33">+G26+G24</f>
        <v>2408</v>
      </c>
      <c r="H27" s="336">
        <f t="shared" si="33"/>
        <v>587</v>
      </c>
      <c r="I27" s="336">
        <f t="shared" ref="I27:J27" si="34">+I26+I24</f>
        <v>1054</v>
      </c>
      <c r="J27" s="336">
        <f t="shared" si="34"/>
        <v>751</v>
      </c>
      <c r="K27" s="336">
        <f t="shared" ref="K27:L27" si="35">+K26+K24</f>
        <v>2595</v>
      </c>
      <c r="L27" s="336">
        <f t="shared" si="35"/>
        <v>804</v>
      </c>
      <c r="M27" s="336">
        <f t="shared" ref="M27:N27" si="36">+M26+M24</f>
        <v>608</v>
      </c>
      <c r="N27" s="336">
        <f t="shared" si="36"/>
        <v>657</v>
      </c>
    </row>
    <row r="28" spans="2:19" ht="14.25">
      <c r="C28" s="350"/>
      <c r="D28" s="376"/>
      <c r="E28" s="350"/>
      <c r="F28" s="351"/>
      <c r="G28" s="351"/>
      <c r="H28" s="351"/>
      <c r="I28" s="351"/>
      <c r="J28" s="351"/>
      <c r="K28" s="351"/>
      <c r="L28" s="351"/>
      <c r="M28" s="351"/>
      <c r="N28" s="351"/>
      <c r="O28" s="376"/>
    </row>
    <row r="29" spans="2:19">
      <c r="D29" s="346"/>
      <c r="F29" s="346"/>
      <c r="G29" s="346"/>
      <c r="H29" s="346"/>
      <c r="I29" s="346"/>
      <c r="J29" s="346"/>
      <c r="K29" s="346"/>
      <c r="L29" s="346"/>
      <c r="M29" s="346"/>
      <c r="N29" s="346"/>
    </row>
    <row r="30" spans="2:19">
      <c r="B30" s="247" t="s">
        <v>301</v>
      </c>
      <c r="C30" s="355"/>
      <c r="F30" s="354"/>
      <c r="G30" s="354"/>
      <c r="H30" s="354"/>
      <c r="I30" s="354"/>
      <c r="J30" s="354"/>
      <c r="K30" s="354"/>
      <c r="L30" s="354"/>
      <c r="M30" s="354"/>
      <c r="N30" s="354"/>
    </row>
    <row r="31" spans="2:19">
      <c r="B31" s="247" t="s">
        <v>179</v>
      </c>
      <c r="R31" s="345"/>
    </row>
    <row r="32" spans="2:19">
      <c r="B32" s="247" t="s">
        <v>284</v>
      </c>
      <c r="R32" s="345"/>
    </row>
    <row r="33" spans="2:18">
      <c r="B33" s="247" t="s">
        <v>285</v>
      </c>
      <c r="R33" s="345"/>
    </row>
    <row r="34" spans="2:18">
      <c r="R34" s="345"/>
    </row>
  </sheetData>
  <mergeCells count="3">
    <mergeCell ref="A1:O1"/>
    <mergeCell ref="A2:O2"/>
    <mergeCell ref="A3:O3"/>
  </mergeCells>
  <pageMargins left="0.7" right="0.7" top="0.25" bottom="0.44" header="0.3" footer="0.3"/>
  <pageSetup scale="77" orientation="landscape" r:id="rId1"/>
  <headerFooter>
    <oddFooter>&amp;LActivision Blizzard, Inc.&amp;R&amp;P of &amp; 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2"/>
  <sheetViews>
    <sheetView showGridLines="0" view="pageBreakPreview" zoomScale="90" zoomScaleNormal="100" zoomScaleSheetLayoutView="90" workbookViewId="0">
      <pane xSplit="2" ySplit="7" topLeftCell="C8" activePane="bottomRight" state="frozen"/>
      <selection pane="topRight"/>
      <selection pane="bottomLeft"/>
      <selection pane="bottomRight" activeCell="C8" sqref="C8"/>
    </sheetView>
  </sheetViews>
  <sheetFormatPr defaultRowHeight="12"/>
  <cols>
    <col min="1" max="1" width="6.5703125" style="318" customWidth="1"/>
    <col min="2" max="2" width="45.5703125" style="318" customWidth="1"/>
    <col min="3" max="4" width="10.28515625" style="332" customWidth="1"/>
    <col min="5" max="14" width="10.7109375" style="333" customWidth="1"/>
    <col min="15" max="15" width="1.7109375" style="318" customWidth="1"/>
    <col min="16" max="16384" width="9.140625" style="318"/>
  </cols>
  <sheetData>
    <row r="1" spans="1:35" collapsed="1">
      <c r="A1" s="432" t="s">
        <v>39</v>
      </c>
      <c r="B1" s="432"/>
      <c r="C1" s="432"/>
      <c r="D1" s="432"/>
      <c r="E1" s="432"/>
      <c r="F1" s="432"/>
      <c r="G1" s="432"/>
      <c r="H1" s="432"/>
      <c r="I1" s="432"/>
      <c r="J1" s="432"/>
      <c r="K1" s="432"/>
      <c r="L1" s="432"/>
      <c r="M1" s="432"/>
      <c r="N1" s="432"/>
      <c r="O1" s="432"/>
      <c r="P1" s="280"/>
      <c r="Q1" s="280"/>
      <c r="R1" s="280"/>
      <c r="S1" s="280"/>
      <c r="T1" s="280"/>
      <c r="U1" s="280"/>
      <c r="V1" s="280"/>
      <c r="W1" s="280"/>
      <c r="X1" s="280"/>
      <c r="Y1" s="280"/>
      <c r="Z1" s="280"/>
      <c r="AA1" s="280"/>
      <c r="AB1" s="280"/>
      <c r="AC1" s="280"/>
      <c r="AD1" s="280"/>
      <c r="AE1" s="280"/>
      <c r="AF1" s="280"/>
      <c r="AG1" s="280"/>
      <c r="AH1" s="280"/>
      <c r="AI1" s="280"/>
    </row>
    <row r="2" spans="1:35">
      <c r="A2" s="432" t="s">
        <v>29</v>
      </c>
      <c r="B2" s="432"/>
      <c r="C2" s="432"/>
      <c r="D2" s="432"/>
      <c r="E2" s="432"/>
      <c r="F2" s="432"/>
      <c r="G2" s="432"/>
      <c r="H2" s="432"/>
      <c r="I2" s="432"/>
      <c r="J2" s="432"/>
      <c r="K2" s="432"/>
      <c r="L2" s="432"/>
      <c r="M2" s="432"/>
      <c r="N2" s="432"/>
      <c r="O2" s="432"/>
      <c r="P2" s="280"/>
      <c r="Q2" s="280"/>
      <c r="R2" s="280"/>
      <c r="S2" s="280"/>
      <c r="T2" s="280"/>
      <c r="U2" s="280"/>
      <c r="V2" s="280"/>
      <c r="W2" s="280"/>
      <c r="X2" s="280"/>
      <c r="Y2" s="280"/>
      <c r="Z2" s="280"/>
      <c r="AA2" s="280"/>
      <c r="AB2" s="280"/>
      <c r="AC2" s="280"/>
      <c r="AD2" s="280"/>
      <c r="AE2" s="280"/>
      <c r="AF2" s="280"/>
      <c r="AG2" s="280"/>
      <c r="AH2" s="280"/>
      <c r="AI2" s="280"/>
    </row>
    <row r="3" spans="1:35">
      <c r="A3" s="432" t="s">
        <v>28</v>
      </c>
      <c r="B3" s="432"/>
      <c r="C3" s="432"/>
      <c r="D3" s="432"/>
      <c r="E3" s="432"/>
      <c r="F3" s="432"/>
      <c r="G3" s="432"/>
      <c r="H3" s="432"/>
      <c r="I3" s="432"/>
      <c r="J3" s="432"/>
      <c r="K3" s="432"/>
      <c r="L3" s="432"/>
      <c r="M3" s="432"/>
      <c r="N3" s="432"/>
      <c r="O3" s="432"/>
      <c r="P3" s="280"/>
      <c r="Q3" s="280"/>
      <c r="R3" s="280"/>
      <c r="S3" s="280"/>
      <c r="T3" s="280"/>
      <c r="U3" s="280"/>
      <c r="V3" s="280"/>
      <c r="W3" s="280"/>
      <c r="X3" s="280"/>
      <c r="Y3" s="280"/>
      <c r="Z3" s="280"/>
      <c r="AA3" s="280"/>
      <c r="AB3" s="280"/>
      <c r="AC3" s="280"/>
      <c r="AD3" s="280"/>
      <c r="AE3" s="280"/>
      <c r="AF3" s="280"/>
      <c r="AG3" s="280"/>
      <c r="AH3" s="280"/>
      <c r="AI3" s="280"/>
    </row>
    <row r="4" spans="1:35">
      <c r="A4" s="319"/>
      <c r="B4" s="320"/>
      <c r="C4" s="321"/>
      <c r="D4" s="321"/>
      <c r="E4" s="322"/>
      <c r="F4" s="322"/>
      <c r="G4" s="322"/>
      <c r="H4" s="322"/>
      <c r="I4" s="322"/>
      <c r="J4" s="322"/>
      <c r="K4" s="322"/>
      <c r="L4" s="322"/>
      <c r="M4" s="322"/>
      <c r="N4" s="322"/>
    </row>
    <row r="5" spans="1:35">
      <c r="B5" s="323"/>
      <c r="C5" s="264" t="s">
        <v>6</v>
      </c>
      <c r="D5" s="264" t="s">
        <v>3</v>
      </c>
      <c r="E5" s="264" t="s">
        <v>4</v>
      </c>
      <c r="F5" s="264" t="s">
        <v>5</v>
      </c>
      <c r="G5" s="264" t="s">
        <v>6</v>
      </c>
      <c r="H5" s="264" t="s">
        <v>3</v>
      </c>
      <c r="I5" s="264" t="s">
        <v>4</v>
      </c>
      <c r="J5" s="264" t="s">
        <v>5</v>
      </c>
      <c r="K5" s="264" t="s">
        <v>6</v>
      </c>
      <c r="L5" s="264" t="s">
        <v>3</v>
      </c>
      <c r="M5" s="264" t="s">
        <v>4</v>
      </c>
      <c r="N5" s="264" t="s">
        <v>5</v>
      </c>
    </row>
    <row r="6" spans="1:35">
      <c r="A6" s="323" t="s">
        <v>7</v>
      </c>
      <c r="B6" s="323"/>
      <c r="C6" s="265" t="s">
        <v>40</v>
      </c>
      <c r="D6" s="265" t="s">
        <v>41</v>
      </c>
      <c r="E6" s="265" t="s">
        <v>41</v>
      </c>
      <c r="F6" s="265" t="s">
        <v>41</v>
      </c>
      <c r="G6" s="265" t="s">
        <v>41</v>
      </c>
      <c r="H6" s="265" t="s">
        <v>220</v>
      </c>
      <c r="I6" s="265" t="s">
        <v>220</v>
      </c>
      <c r="J6" s="265" t="s">
        <v>220</v>
      </c>
      <c r="K6" s="265" t="s">
        <v>220</v>
      </c>
      <c r="L6" s="265" t="s">
        <v>248</v>
      </c>
      <c r="M6" s="265" t="s">
        <v>248</v>
      </c>
      <c r="N6" s="265" t="s">
        <v>248</v>
      </c>
    </row>
    <row r="7" spans="1:35" ht="5.25" customHeight="1">
      <c r="B7" s="324"/>
      <c r="C7" s="325"/>
      <c r="D7" s="325"/>
      <c r="E7" s="325"/>
      <c r="F7" s="325"/>
      <c r="G7" s="325"/>
      <c r="H7" s="325"/>
      <c r="I7" s="325"/>
      <c r="J7" s="325"/>
      <c r="K7" s="325"/>
      <c r="L7" s="325"/>
      <c r="M7" s="325"/>
      <c r="N7" s="325"/>
    </row>
    <row r="8" spans="1:35">
      <c r="B8" s="318" t="s">
        <v>14</v>
      </c>
      <c r="C8" s="325"/>
      <c r="D8" s="325"/>
      <c r="E8" s="325"/>
      <c r="F8" s="325"/>
      <c r="G8" s="325"/>
      <c r="H8" s="325"/>
      <c r="I8" s="325"/>
      <c r="J8" s="325"/>
      <c r="K8" s="325"/>
      <c r="L8" s="325"/>
      <c r="M8" s="325"/>
      <c r="N8" s="325"/>
    </row>
    <row r="9" spans="1:35">
      <c r="B9" s="318" t="s">
        <v>54</v>
      </c>
      <c r="C9" s="326">
        <v>2812</v>
      </c>
      <c r="D9" s="326">
        <v>2658</v>
      </c>
      <c r="E9" s="326">
        <v>2334</v>
      </c>
      <c r="F9" s="326">
        <f>2468+1</f>
        <v>2469</v>
      </c>
      <c r="G9" s="326">
        <v>3165</v>
      </c>
      <c r="H9" s="326">
        <v>3049</v>
      </c>
      <c r="I9" s="326">
        <v>2786</v>
      </c>
      <c r="J9" s="326">
        <v>2909</v>
      </c>
      <c r="K9" s="326">
        <v>3959</v>
      </c>
      <c r="L9" s="326">
        <v>4299</v>
      </c>
      <c r="M9" s="326">
        <v>4341</v>
      </c>
      <c r="N9" s="326">
        <v>4444</v>
      </c>
    </row>
    <row r="10" spans="1:35">
      <c r="B10" s="318" t="s">
        <v>268</v>
      </c>
      <c r="C10" s="287">
        <v>0</v>
      </c>
      <c r="D10" s="287">
        <v>0</v>
      </c>
      <c r="E10" s="287">
        <v>0</v>
      </c>
      <c r="F10" s="287">
        <v>0</v>
      </c>
      <c r="G10" s="287">
        <v>0</v>
      </c>
      <c r="H10" s="287">
        <v>0</v>
      </c>
      <c r="I10" s="287">
        <v>0</v>
      </c>
      <c r="J10" s="287">
        <v>0</v>
      </c>
      <c r="K10" s="287">
        <v>0</v>
      </c>
      <c r="L10" s="287">
        <v>0</v>
      </c>
      <c r="M10" s="287">
        <v>0</v>
      </c>
      <c r="N10" s="287">
        <v>2282</v>
      </c>
    </row>
    <row r="11" spans="1:35">
      <c r="B11" s="318" t="s">
        <v>55</v>
      </c>
      <c r="C11" s="287">
        <v>696</v>
      </c>
      <c r="D11" s="287">
        <v>701</v>
      </c>
      <c r="E11" s="287">
        <v>610</v>
      </c>
      <c r="F11" s="287">
        <f>433-1</f>
        <v>432</v>
      </c>
      <c r="G11" s="287">
        <v>360</v>
      </c>
      <c r="H11" s="287">
        <v>427</v>
      </c>
      <c r="I11" s="287">
        <v>406</v>
      </c>
      <c r="J11" s="287">
        <v>455</v>
      </c>
      <c r="K11" s="287">
        <v>416</v>
      </c>
      <c r="L11" s="287">
        <v>319</v>
      </c>
      <c r="M11" s="287">
        <v>205</v>
      </c>
      <c r="N11" s="287">
        <v>95</v>
      </c>
    </row>
    <row r="12" spans="1:35">
      <c r="B12" s="318" t="s">
        <v>56</v>
      </c>
      <c r="C12" s="287">
        <f>640+33</f>
        <v>673</v>
      </c>
      <c r="D12" s="287">
        <v>95</v>
      </c>
      <c r="E12" s="287">
        <v>140</v>
      </c>
      <c r="F12" s="287">
        <v>139</v>
      </c>
      <c r="G12" s="287">
        <v>649</v>
      </c>
      <c r="H12" s="287">
        <v>103</v>
      </c>
      <c r="I12" s="287">
        <v>227</v>
      </c>
      <c r="J12" s="287">
        <v>200</v>
      </c>
      <c r="K12" s="287">
        <v>707</v>
      </c>
      <c r="L12" s="287">
        <v>237</v>
      </c>
      <c r="M12" s="287">
        <v>117</v>
      </c>
      <c r="N12" s="287">
        <v>205</v>
      </c>
    </row>
    <row r="13" spans="1:35">
      <c r="B13" s="318" t="s">
        <v>222</v>
      </c>
      <c r="C13" s="287">
        <v>112</v>
      </c>
      <c r="D13" s="287">
        <v>103</v>
      </c>
      <c r="E13" s="287">
        <v>93</v>
      </c>
      <c r="F13" s="287">
        <v>207</v>
      </c>
      <c r="G13" s="287">
        <v>144</v>
      </c>
      <c r="H13" s="287">
        <v>146</v>
      </c>
      <c r="I13" s="287">
        <v>128</v>
      </c>
      <c r="J13" s="287">
        <v>291</v>
      </c>
      <c r="K13" s="287">
        <v>209</v>
      </c>
      <c r="L13" s="287">
        <v>159</v>
      </c>
      <c r="M13" s="287">
        <v>131</v>
      </c>
      <c r="N13" s="287">
        <v>313</v>
      </c>
    </row>
    <row r="14" spans="1:35">
      <c r="B14" s="318" t="s">
        <v>57</v>
      </c>
      <c r="C14" s="287">
        <v>147</v>
      </c>
      <c r="D14" s="287">
        <v>129</v>
      </c>
      <c r="E14" s="287">
        <v>126</v>
      </c>
      <c r="F14" s="287">
        <v>150</v>
      </c>
      <c r="G14" s="287">
        <v>137</v>
      </c>
      <c r="H14" s="287">
        <v>148</v>
      </c>
      <c r="I14" s="287">
        <v>141</v>
      </c>
      <c r="J14" s="287">
        <v>164</v>
      </c>
      <c r="K14" s="287">
        <v>164</v>
      </c>
      <c r="L14" s="287">
        <v>143</v>
      </c>
      <c r="M14" s="287">
        <v>304</v>
      </c>
      <c r="N14" s="287">
        <v>347</v>
      </c>
    </row>
    <row r="15" spans="1:35">
      <c r="B15" s="318" t="s">
        <v>58</v>
      </c>
      <c r="C15" s="287">
        <v>45</v>
      </c>
      <c r="D15" s="287">
        <v>32</v>
      </c>
      <c r="E15" s="287">
        <v>43</v>
      </c>
      <c r="F15" s="287">
        <v>42</v>
      </c>
      <c r="G15" s="287">
        <v>22</v>
      </c>
      <c r="H15" s="287">
        <v>22</v>
      </c>
      <c r="I15" s="287">
        <v>8</v>
      </c>
      <c r="J15" s="287">
        <v>13</v>
      </c>
      <c r="K15" s="287">
        <v>11</v>
      </c>
      <c r="L15" s="287">
        <v>11</v>
      </c>
      <c r="M15" s="287">
        <v>11</v>
      </c>
      <c r="N15" s="287">
        <v>12</v>
      </c>
    </row>
    <row r="16" spans="1:35">
      <c r="B16" s="318" t="s">
        <v>12</v>
      </c>
      <c r="C16" s="287">
        <v>648</v>
      </c>
      <c r="D16" s="287">
        <v>464</v>
      </c>
      <c r="E16" s="287">
        <v>511</v>
      </c>
      <c r="F16" s="287">
        <v>507</v>
      </c>
      <c r="G16" s="287">
        <v>507</v>
      </c>
      <c r="H16" s="287">
        <v>445</v>
      </c>
      <c r="I16" s="287">
        <v>484</v>
      </c>
      <c r="J16" s="287">
        <v>497</v>
      </c>
      <c r="K16" s="287">
        <v>487</v>
      </c>
      <c r="L16" s="287">
        <v>409</v>
      </c>
      <c r="M16" s="287">
        <v>335</v>
      </c>
      <c r="N16" s="287">
        <v>341</v>
      </c>
    </row>
    <row r="17" spans="1:14">
      <c r="B17" s="318" t="s">
        <v>61</v>
      </c>
      <c r="C17" s="287">
        <v>0</v>
      </c>
      <c r="D17" s="287">
        <v>0</v>
      </c>
      <c r="E17" s="287">
        <v>0</v>
      </c>
      <c r="F17" s="287">
        <v>0</v>
      </c>
      <c r="G17" s="287">
        <v>0</v>
      </c>
      <c r="H17" s="287">
        <v>0</v>
      </c>
      <c r="I17" s="287">
        <v>0</v>
      </c>
      <c r="J17" s="287">
        <v>0</v>
      </c>
      <c r="K17" s="287">
        <v>0</v>
      </c>
      <c r="L17" s="287">
        <v>0</v>
      </c>
      <c r="M17" s="287">
        <v>0</v>
      </c>
      <c r="N17" s="287">
        <v>0</v>
      </c>
    </row>
    <row r="18" spans="1:14" s="323" customFormat="1">
      <c r="B18" s="318" t="s">
        <v>59</v>
      </c>
      <c r="C18" s="327">
        <v>299</v>
      </c>
      <c r="D18" s="327">
        <v>175</v>
      </c>
      <c r="E18" s="327">
        <v>97</v>
      </c>
      <c r="F18" s="327">
        <v>136</v>
      </c>
      <c r="G18" s="327">
        <v>396</v>
      </c>
      <c r="H18" s="327">
        <v>226</v>
      </c>
      <c r="I18" s="327">
        <v>152</v>
      </c>
      <c r="J18" s="327">
        <v>173</v>
      </c>
      <c r="K18" s="327">
        <v>321</v>
      </c>
      <c r="L18" s="327">
        <v>226</v>
      </c>
      <c r="M18" s="327">
        <v>185</v>
      </c>
      <c r="N18" s="327">
        <v>212</v>
      </c>
    </row>
    <row r="19" spans="1:14">
      <c r="B19" s="323" t="s">
        <v>13</v>
      </c>
      <c r="C19" s="328">
        <f t="shared" ref="C19" si="0">SUM(C9:C18)</f>
        <v>5432</v>
      </c>
      <c r="D19" s="328">
        <f t="shared" ref="D19:I19" si="1">SUM(D9:D18)</f>
        <v>4357</v>
      </c>
      <c r="E19" s="328">
        <f t="shared" si="1"/>
        <v>3954</v>
      </c>
      <c r="F19" s="328">
        <f t="shared" si="1"/>
        <v>4082</v>
      </c>
      <c r="G19" s="328">
        <f t="shared" si="1"/>
        <v>5380</v>
      </c>
      <c r="H19" s="328">
        <f t="shared" si="1"/>
        <v>4566</v>
      </c>
      <c r="I19" s="328">
        <f t="shared" si="1"/>
        <v>4332</v>
      </c>
      <c r="J19" s="328">
        <f t="shared" ref="J19:K19" si="2">SUM(J9:J18)</f>
        <v>4702</v>
      </c>
      <c r="K19" s="328">
        <f t="shared" si="2"/>
        <v>6274</v>
      </c>
      <c r="L19" s="328">
        <f t="shared" ref="L19:M19" si="3">SUM(L9:L18)</f>
        <v>5803</v>
      </c>
      <c r="M19" s="328">
        <f t="shared" si="3"/>
        <v>5629</v>
      </c>
      <c r="N19" s="328">
        <f t="shared" ref="N19" si="4">SUM(N9:N18)</f>
        <v>8251</v>
      </c>
    </row>
    <row r="20" spans="1:14">
      <c r="C20" s="287"/>
      <c r="D20" s="287"/>
      <c r="E20" s="287"/>
      <c r="F20" s="287"/>
      <c r="G20" s="287"/>
      <c r="H20" s="287"/>
      <c r="I20" s="287"/>
      <c r="J20" s="287"/>
      <c r="K20" s="287"/>
      <c r="L20" s="287"/>
      <c r="M20" s="287"/>
      <c r="N20" s="287"/>
    </row>
    <row r="21" spans="1:14">
      <c r="B21" s="318" t="s">
        <v>60</v>
      </c>
      <c r="C21" s="287">
        <v>23</v>
      </c>
      <c r="D21" s="287">
        <v>25</v>
      </c>
      <c r="E21" s="287">
        <v>25</v>
      </c>
      <c r="F21" s="287">
        <v>25</v>
      </c>
      <c r="G21" s="287">
        <v>16</v>
      </c>
      <c r="H21" s="287">
        <v>17</v>
      </c>
      <c r="I21" s="287">
        <v>17</v>
      </c>
      <c r="J21" s="287">
        <v>19</v>
      </c>
      <c r="K21" s="287">
        <v>8</v>
      </c>
      <c r="L21" s="287">
        <v>9</v>
      </c>
      <c r="M21" s="287">
        <v>9</v>
      </c>
      <c r="N21" s="287">
        <v>9</v>
      </c>
    </row>
    <row r="22" spans="1:14" s="323" customFormat="1">
      <c r="B22" s="318" t="s">
        <v>57</v>
      </c>
      <c r="C22" s="287">
        <v>55</v>
      </c>
      <c r="D22" s="287">
        <v>65</v>
      </c>
      <c r="E22" s="287">
        <v>90</v>
      </c>
      <c r="F22" s="287">
        <v>114</v>
      </c>
      <c r="G22" s="287">
        <v>62</v>
      </c>
      <c r="H22" s="287">
        <v>91</v>
      </c>
      <c r="I22" s="287">
        <v>123</v>
      </c>
      <c r="J22" s="287">
        <v>156</v>
      </c>
      <c r="K22" s="287">
        <v>129</v>
      </c>
      <c r="L22" s="287">
        <v>160</v>
      </c>
      <c r="M22" s="287">
        <v>35</v>
      </c>
      <c r="N22" s="287">
        <v>54</v>
      </c>
    </row>
    <row r="23" spans="1:14" s="323" customFormat="1">
      <c r="B23" s="318" t="s">
        <v>58</v>
      </c>
      <c r="C23" s="287">
        <v>28</v>
      </c>
      <c r="D23" s="287">
        <v>29</v>
      </c>
      <c r="E23" s="287">
        <v>16</v>
      </c>
      <c r="F23" s="287">
        <v>13</v>
      </c>
      <c r="G23" s="287">
        <v>12</v>
      </c>
      <c r="H23" s="287">
        <v>12</v>
      </c>
      <c r="I23" s="287">
        <v>12</v>
      </c>
      <c r="J23" s="287">
        <v>4</v>
      </c>
      <c r="K23" s="287">
        <v>30</v>
      </c>
      <c r="L23" s="287">
        <v>10</v>
      </c>
      <c r="M23" s="287">
        <v>0</v>
      </c>
      <c r="N23" s="287">
        <v>0</v>
      </c>
    </row>
    <row r="24" spans="1:14" s="323" customFormat="1">
      <c r="B24" s="318" t="s">
        <v>15</v>
      </c>
      <c r="C24" s="287">
        <v>169</v>
      </c>
      <c r="D24" s="287">
        <v>165</v>
      </c>
      <c r="E24" s="287">
        <v>163</v>
      </c>
      <c r="F24" s="287">
        <v>167</v>
      </c>
      <c r="G24" s="287">
        <v>163</v>
      </c>
      <c r="H24" s="287">
        <v>154</v>
      </c>
      <c r="I24" s="287">
        <v>149</v>
      </c>
      <c r="J24" s="287">
        <v>148</v>
      </c>
      <c r="K24" s="287">
        <v>141</v>
      </c>
      <c r="L24" s="287">
        <v>133</v>
      </c>
      <c r="M24" s="287">
        <v>132</v>
      </c>
      <c r="N24" s="287">
        <v>139</v>
      </c>
    </row>
    <row r="25" spans="1:14" s="323" customFormat="1">
      <c r="B25" s="318" t="s">
        <v>68</v>
      </c>
      <c r="C25" s="287">
        <v>0</v>
      </c>
      <c r="D25" s="287">
        <v>0</v>
      </c>
      <c r="E25" s="287">
        <v>0</v>
      </c>
      <c r="F25" s="287">
        <v>0</v>
      </c>
      <c r="G25" s="287">
        <v>0</v>
      </c>
      <c r="H25" s="287">
        <v>0</v>
      </c>
      <c r="I25" s="287">
        <v>0</v>
      </c>
      <c r="J25" s="287">
        <v>0</v>
      </c>
      <c r="K25" s="287">
        <v>0</v>
      </c>
      <c r="L25" s="287">
        <v>0</v>
      </c>
      <c r="M25" s="287">
        <v>0</v>
      </c>
      <c r="N25" s="287">
        <v>0</v>
      </c>
    </row>
    <row r="26" spans="1:14" s="323" customFormat="1">
      <c r="B26" s="318" t="s">
        <v>9</v>
      </c>
      <c r="C26" s="287">
        <v>15</v>
      </c>
      <c r="D26" s="287">
        <v>17</v>
      </c>
      <c r="E26" s="287">
        <v>16</v>
      </c>
      <c r="F26" s="287">
        <v>15</v>
      </c>
      <c r="G26" s="287">
        <v>12</v>
      </c>
      <c r="H26" s="287">
        <v>15</v>
      </c>
      <c r="I26" s="287">
        <v>12</v>
      </c>
      <c r="J26" s="287">
        <v>12</v>
      </c>
      <c r="K26" s="287">
        <v>11</v>
      </c>
      <c r="L26" s="287">
        <v>10</v>
      </c>
      <c r="M26" s="287">
        <v>10</v>
      </c>
      <c r="N26" s="287">
        <v>18</v>
      </c>
    </row>
    <row r="27" spans="1:14" s="323" customFormat="1">
      <c r="B27" s="318" t="s">
        <v>61</v>
      </c>
      <c r="C27" s="287">
        <v>160</v>
      </c>
      <c r="D27" s="287">
        <v>152</v>
      </c>
      <c r="E27" s="287">
        <v>145</v>
      </c>
      <c r="F27" s="287">
        <v>138</v>
      </c>
      <c r="G27" s="287">
        <v>88</v>
      </c>
      <c r="H27" s="287">
        <v>85</v>
      </c>
      <c r="I27" s="287">
        <v>83</v>
      </c>
      <c r="J27" s="287">
        <v>80</v>
      </c>
      <c r="K27" s="287">
        <v>68</v>
      </c>
      <c r="L27" s="287">
        <v>64</v>
      </c>
      <c r="M27" s="287">
        <v>61</v>
      </c>
      <c r="N27" s="287">
        <v>58</v>
      </c>
    </row>
    <row r="28" spans="1:14" s="323" customFormat="1">
      <c r="B28" s="318" t="s">
        <v>62</v>
      </c>
      <c r="C28" s="287">
        <v>433</v>
      </c>
      <c r="D28" s="287">
        <v>433</v>
      </c>
      <c r="E28" s="287">
        <v>433</v>
      </c>
      <c r="F28" s="287">
        <v>433</v>
      </c>
      <c r="G28" s="287">
        <v>433</v>
      </c>
      <c r="H28" s="287">
        <v>433</v>
      </c>
      <c r="I28" s="287">
        <v>433</v>
      </c>
      <c r="J28" s="287">
        <v>433</v>
      </c>
      <c r="K28" s="287">
        <v>433</v>
      </c>
      <c r="L28" s="287">
        <v>433</v>
      </c>
      <c r="M28" s="287">
        <v>433</v>
      </c>
      <c r="N28" s="287">
        <v>433</v>
      </c>
    </row>
    <row r="29" spans="1:14">
      <c r="B29" s="318" t="s">
        <v>8</v>
      </c>
      <c r="C29" s="327">
        <v>7132</v>
      </c>
      <c r="D29" s="327">
        <v>7134</v>
      </c>
      <c r="E29" s="327">
        <v>7130</v>
      </c>
      <c r="F29" s="327">
        <v>7126</v>
      </c>
      <c r="G29" s="327">
        <v>7111</v>
      </c>
      <c r="H29" s="327">
        <v>7109</v>
      </c>
      <c r="I29" s="327">
        <v>7108</v>
      </c>
      <c r="J29" s="327">
        <v>7107</v>
      </c>
      <c r="K29" s="327">
        <v>7106</v>
      </c>
      <c r="L29" s="327">
        <v>7103</v>
      </c>
      <c r="M29" s="327">
        <v>7102</v>
      </c>
      <c r="N29" s="327">
        <v>7098</v>
      </c>
    </row>
    <row r="30" spans="1:14" ht="12.75" thickBot="1">
      <c r="B30" s="323" t="s">
        <v>20</v>
      </c>
      <c r="C30" s="329">
        <f t="shared" ref="C30:E30" si="5">SUM(C19:C29)</f>
        <v>13447</v>
      </c>
      <c r="D30" s="329">
        <f t="shared" si="5"/>
        <v>12377</v>
      </c>
      <c r="E30" s="329">
        <f t="shared" si="5"/>
        <v>11972</v>
      </c>
      <c r="F30" s="329">
        <f t="shared" ref="F30:G30" si="6">SUM(F19:F29)</f>
        <v>12113</v>
      </c>
      <c r="G30" s="329">
        <f t="shared" si="6"/>
        <v>13277</v>
      </c>
      <c r="H30" s="329">
        <f t="shared" ref="H30:I30" si="7">SUM(H19:H29)</f>
        <v>12482</v>
      </c>
      <c r="I30" s="329">
        <f t="shared" si="7"/>
        <v>12269</v>
      </c>
      <c r="J30" s="329">
        <f t="shared" ref="J30:K30" si="8">SUM(J19:J29)</f>
        <v>12661</v>
      </c>
      <c r="K30" s="329">
        <f t="shared" si="8"/>
        <v>14200</v>
      </c>
      <c r="L30" s="329">
        <f t="shared" ref="L30:M30" si="9">SUM(L19:L29)</f>
        <v>13725</v>
      </c>
      <c r="M30" s="329">
        <f t="shared" si="9"/>
        <v>13411</v>
      </c>
      <c r="N30" s="329">
        <f t="shared" ref="N30" si="10">SUM(N19:N29)</f>
        <v>16060</v>
      </c>
    </row>
    <row r="31" spans="1:14">
      <c r="B31" s="323"/>
      <c r="C31" s="330"/>
      <c r="D31" s="330"/>
      <c r="E31" s="330"/>
      <c r="F31" s="330"/>
      <c r="G31" s="330"/>
      <c r="H31" s="330"/>
      <c r="I31" s="330"/>
      <c r="J31" s="330"/>
      <c r="K31" s="330"/>
      <c r="L31" s="330"/>
      <c r="M31" s="330"/>
      <c r="N31" s="330"/>
    </row>
    <row r="32" spans="1:14">
      <c r="A32" s="323" t="s">
        <v>16</v>
      </c>
      <c r="B32" s="323"/>
      <c r="C32" s="287"/>
      <c r="D32" s="287"/>
      <c r="E32" s="287"/>
      <c r="F32" s="287"/>
      <c r="G32" s="287"/>
      <c r="H32" s="287"/>
      <c r="I32" s="287"/>
      <c r="J32" s="287"/>
      <c r="K32" s="287"/>
      <c r="L32" s="287"/>
      <c r="M32" s="287"/>
      <c r="N32" s="287"/>
    </row>
    <row r="33" spans="2:14">
      <c r="B33" s="323"/>
      <c r="C33" s="287"/>
      <c r="D33" s="287"/>
      <c r="E33" s="287"/>
      <c r="F33" s="287"/>
      <c r="G33" s="287"/>
      <c r="H33" s="287"/>
      <c r="I33" s="287"/>
      <c r="J33" s="287"/>
      <c r="K33" s="287"/>
      <c r="L33" s="287"/>
      <c r="M33" s="287"/>
      <c r="N33" s="287"/>
    </row>
    <row r="34" spans="2:14">
      <c r="B34" s="318" t="s">
        <v>17</v>
      </c>
      <c r="C34" s="287"/>
      <c r="D34" s="287"/>
      <c r="E34" s="287"/>
      <c r="F34" s="287"/>
      <c r="G34" s="287"/>
      <c r="H34" s="287"/>
      <c r="I34" s="287"/>
      <c r="J34" s="287"/>
      <c r="K34" s="287"/>
      <c r="L34" s="287"/>
      <c r="M34" s="287"/>
      <c r="N34" s="287"/>
    </row>
    <row r="35" spans="2:14">
      <c r="B35" s="318" t="s">
        <v>63</v>
      </c>
      <c r="C35" s="326">
        <v>363</v>
      </c>
      <c r="D35" s="326">
        <v>172</v>
      </c>
      <c r="E35" s="326">
        <v>156</v>
      </c>
      <c r="F35" s="326">
        <v>250</v>
      </c>
      <c r="G35" s="326">
        <v>390</v>
      </c>
      <c r="H35" s="326">
        <v>181</v>
      </c>
      <c r="I35" s="326">
        <v>163</v>
      </c>
      <c r="J35" s="326">
        <v>253</v>
      </c>
      <c r="K35" s="326">
        <v>343</v>
      </c>
      <c r="L35" s="326">
        <v>186</v>
      </c>
      <c r="M35" s="326">
        <v>139</v>
      </c>
      <c r="N35" s="326">
        <v>286</v>
      </c>
    </row>
    <row r="36" spans="2:14" s="323" customFormat="1">
      <c r="B36" s="318" t="s">
        <v>64</v>
      </c>
      <c r="C36" s="287">
        <v>1726</v>
      </c>
      <c r="D36" s="287">
        <v>1043</v>
      </c>
      <c r="E36" s="287">
        <v>601</v>
      </c>
      <c r="F36" s="287">
        <v>487</v>
      </c>
      <c r="G36" s="287">
        <v>1472</v>
      </c>
      <c r="H36" s="287">
        <v>917</v>
      </c>
      <c r="I36" s="287">
        <v>905</v>
      </c>
      <c r="J36" s="287">
        <v>847</v>
      </c>
      <c r="K36" s="287">
        <v>1657</v>
      </c>
      <c r="L36" s="287">
        <v>1125</v>
      </c>
      <c r="M36" s="287">
        <v>665</v>
      </c>
      <c r="N36" s="287">
        <v>641</v>
      </c>
    </row>
    <row r="37" spans="2:14" s="323" customFormat="1">
      <c r="B37" s="318" t="s">
        <v>65</v>
      </c>
      <c r="C37" s="327">
        <f>838+33</f>
        <v>871</v>
      </c>
      <c r="D37" s="327">
        <v>676</v>
      </c>
      <c r="E37" s="327">
        <v>489</v>
      </c>
      <c r="F37" s="327">
        <v>542</v>
      </c>
      <c r="G37" s="327">
        <v>694</v>
      </c>
      <c r="H37" s="327">
        <v>676</v>
      </c>
      <c r="I37" s="327">
        <v>416</v>
      </c>
      <c r="J37" s="327">
        <v>455</v>
      </c>
      <c r="K37" s="327">
        <v>652</v>
      </c>
      <c r="L37" s="327">
        <v>588</v>
      </c>
      <c r="M37" s="327">
        <v>389</v>
      </c>
      <c r="N37" s="327">
        <v>506</v>
      </c>
    </row>
    <row r="38" spans="2:14">
      <c r="B38" s="323" t="s">
        <v>21</v>
      </c>
      <c r="C38" s="328">
        <f t="shared" ref="C38" si="11">SUM(C35:C37)</f>
        <v>2960</v>
      </c>
      <c r="D38" s="328">
        <f t="shared" ref="D38:I38" si="12">SUM(D35:D37)</f>
        <v>1891</v>
      </c>
      <c r="E38" s="328">
        <f t="shared" si="12"/>
        <v>1246</v>
      </c>
      <c r="F38" s="328">
        <f t="shared" si="12"/>
        <v>1279</v>
      </c>
      <c r="G38" s="328">
        <f t="shared" si="12"/>
        <v>2556</v>
      </c>
      <c r="H38" s="328">
        <f t="shared" si="12"/>
        <v>1774</v>
      </c>
      <c r="I38" s="328">
        <f t="shared" si="12"/>
        <v>1484</v>
      </c>
      <c r="J38" s="328">
        <f t="shared" ref="J38:K38" si="13">SUM(J35:J37)</f>
        <v>1555</v>
      </c>
      <c r="K38" s="328">
        <f t="shared" si="13"/>
        <v>2652</v>
      </c>
      <c r="L38" s="328">
        <f t="shared" ref="L38:M38" si="14">SUM(L35:L37)</f>
        <v>1899</v>
      </c>
      <c r="M38" s="328">
        <f t="shared" si="14"/>
        <v>1193</v>
      </c>
      <c r="N38" s="328">
        <f t="shared" ref="N38" si="15">SUM(N35:N37)</f>
        <v>1433</v>
      </c>
    </row>
    <row r="39" spans="2:14">
      <c r="C39" s="287"/>
      <c r="D39" s="287"/>
      <c r="E39" s="287"/>
      <c r="F39" s="287"/>
      <c r="G39" s="287"/>
      <c r="H39" s="287"/>
      <c r="I39" s="287"/>
      <c r="J39" s="287"/>
      <c r="K39" s="287"/>
      <c r="L39" s="287"/>
      <c r="M39" s="287"/>
      <c r="N39" s="287"/>
    </row>
    <row r="40" spans="2:14">
      <c r="B40" s="318" t="s">
        <v>269</v>
      </c>
      <c r="C40" s="287">
        <v>0</v>
      </c>
      <c r="D40" s="287">
        <v>0</v>
      </c>
      <c r="E40" s="287">
        <v>0</v>
      </c>
      <c r="F40" s="287">
        <v>0</v>
      </c>
      <c r="G40" s="287">
        <v>0</v>
      </c>
      <c r="H40" s="287">
        <v>0</v>
      </c>
      <c r="I40" s="287">
        <v>0</v>
      </c>
      <c r="J40" s="287">
        <v>0</v>
      </c>
      <c r="K40" s="287">
        <v>0</v>
      </c>
      <c r="L40" s="287">
        <v>0</v>
      </c>
      <c r="M40" s="287">
        <v>0</v>
      </c>
      <c r="N40" s="287">
        <v>2211</v>
      </c>
    </row>
    <row r="41" spans="2:14" s="323" customFormat="1">
      <c r="B41" s="318" t="s">
        <v>12</v>
      </c>
      <c r="C41" s="287">
        <v>120</v>
      </c>
      <c r="D41" s="287">
        <v>83</v>
      </c>
      <c r="E41" s="287">
        <v>97</v>
      </c>
      <c r="F41" s="287">
        <v>95</v>
      </c>
      <c r="G41" s="287">
        <v>55</v>
      </c>
      <c r="H41" s="287">
        <v>57</v>
      </c>
      <c r="I41" s="287">
        <v>61</v>
      </c>
      <c r="J41" s="287">
        <v>60</v>
      </c>
      <c r="K41" s="287">
        <v>25</v>
      </c>
      <c r="L41" s="287">
        <v>83</v>
      </c>
      <c r="M41" s="287">
        <v>77</v>
      </c>
      <c r="N41" s="287">
        <v>71</v>
      </c>
    </row>
    <row r="42" spans="2:14">
      <c r="B42" s="318" t="s">
        <v>10</v>
      </c>
      <c r="C42" s="327">
        <v>164</v>
      </c>
      <c r="D42" s="327">
        <v>166</v>
      </c>
      <c r="E42" s="327">
        <v>164</v>
      </c>
      <c r="F42" s="327">
        <v>168</v>
      </c>
      <c r="G42" s="327">
        <v>174</v>
      </c>
      <c r="H42" s="327">
        <v>165</v>
      </c>
      <c r="I42" s="327">
        <v>160</v>
      </c>
      <c r="J42" s="327">
        <v>163</v>
      </c>
      <c r="K42" s="327">
        <v>206</v>
      </c>
      <c r="L42" s="327">
        <v>208</v>
      </c>
      <c r="M42" s="327">
        <v>206</v>
      </c>
      <c r="N42" s="327">
        <v>206</v>
      </c>
    </row>
    <row r="43" spans="2:14">
      <c r="B43" s="323" t="s">
        <v>18</v>
      </c>
      <c r="C43" s="328">
        <f t="shared" ref="C43" si="16">SUM(C38:C42)</f>
        <v>3244</v>
      </c>
      <c r="D43" s="328">
        <f t="shared" ref="D43:I43" si="17">SUM(D38:D42)</f>
        <v>2140</v>
      </c>
      <c r="E43" s="328">
        <f t="shared" si="17"/>
        <v>1507</v>
      </c>
      <c r="F43" s="328">
        <f t="shared" si="17"/>
        <v>1542</v>
      </c>
      <c r="G43" s="328">
        <f t="shared" si="17"/>
        <v>2785</v>
      </c>
      <c r="H43" s="328">
        <f t="shared" si="17"/>
        <v>1996</v>
      </c>
      <c r="I43" s="328">
        <f t="shared" si="17"/>
        <v>1705</v>
      </c>
      <c r="J43" s="328">
        <f t="shared" ref="J43:K43" si="18">SUM(J38:J42)</f>
        <v>1778</v>
      </c>
      <c r="K43" s="328">
        <f t="shared" si="18"/>
        <v>2883</v>
      </c>
      <c r="L43" s="328">
        <f t="shared" ref="L43:M43" si="19">SUM(L38:L42)</f>
        <v>2190</v>
      </c>
      <c r="M43" s="328">
        <f t="shared" si="19"/>
        <v>1476</v>
      </c>
      <c r="N43" s="328">
        <f t="shared" ref="N43" si="20">SUM(N38:N42)</f>
        <v>3921</v>
      </c>
    </row>
    <row r="44" spans="2:14">
      <c r="C44" s="287"/>
      <c r="D44" s="287"/>
      <c r="E44" s="287"/>
      <c r="F44" s="287"/>
      <c r="G44" s="287"/>
      <c r="H44" s="287"/>
      <c r="I44" s="287"/>
      <c r="J44" s="287"/>
      <c r="K44" s="287"/>
      <c r="L44" s="287"/>
      <c r="M44" s="287"/>
      <c r="N44" s="287"/>
    </row>
    <row r="45" spans="2:14">
      <c r="B45" s="318" t="s">
        <v>19</v>
      </c>
      <c r="C45" s="287">
        <v>0</v>
      </c>
      <c r="D45" s="287">
        <v>0</v>
      </c>
      <c r="E45" s="287">
        <v>0</v>
      </c>
      <c r="F45" s="287">
        <v>0</v>
      </c>
      <c r="G45" s="287">
        <v>0</v>
      </c>
      <c r="H45" s="287">
        <v>0</v>
      </c>
      <c r="I45" s="287">
        <v>0</v>
      </c>
      <c r="J45" s="287">
        <v>0</v>
      </c>
      <c r="K45" s="287">
        <v>0</v>
      </c>
      <c r="L45" s="287">
        <v>0</v>
      </c>
      <c r="M45" s="287">
        <v>0</v>
      </c>
      <c r="N45" s="287">
        <v>0</v>
      </c>
    </row>
    <row r="46" spans="2:14">
      <c r="B46" s="318" t="s">
        <v>66</v>
      </c>
      <c r="C46" s="287">
        <v>12353</v>
      </c>
      <c r="D46" s="287">
        <v>12382</v>
      </c>
      <c r="E46" s="287">
        <v>9735</v>
      </c>
      <c r="F46" s="287">
        <v>9751</v>
      </c>
      <c r="G46" s="287">
        <v>9616</v>
      </c>
      <c r="H46" s="287">
        <v>9391</v>
      </c>
      <c r="I46" s="287">
        <v>9375</v>
      </c>
      <c r="J46" s="287">
        <v>9418</v>
      </c>
      <c r="K46" s="287">
        <v>9450</v>
      </c>
      <c r="L46" s="287">
        <v>9498</v>
      </c>
      <c r="M46" s="287">
        <v>9541</v>
      </c>
      <c r="N46" s="287">
        <v>9608</v>
      </c>
    </row>
    <row r="47" spans="2:14">
      <c r="B47" s="318" t="s">
        <v>67</v>
      </c>
      <c r="C47" s="287">
        <v>-2194</v>
      </c>
      <c r="D47" s="287">
        <v>-2537</v>
      </c>
      <c r="E47" s="287">
        <v>0</v>
      </c>
      <c r="F47" s="287">
        <v>0</v>
      </c>
      <c r="G47" s="287">
        <v>0</v>
      </c>
      <c r="H47" s="287">
        <v>0</v>
      </c>
      <c r="I47" s="287">
        <v>0</v>
      </c>
      <c r="J47" s="287">
        <v>0</v>
      </c>
      <c r="K47" s="287">
        <v>0</v>
      </c>
      <c r="L47" s="287">
        <v>0</v>
      </c>
      <c r="M47" s="287">
        <v>0</v>
      </c>
      <c r="N47" s="287">
        <v>0</v>
      </c>
    </row>
    <row r="48" spans="2:14">
      <c r="B48" s="318" t="s">
        <v>37</v>
      </c>
      <c r="C48" s="287">
        <v>57</v>
      </c>
      <c r="D48" s="287">
        <v>366</v>
      </c>
      <c r="E48" s="287">
        <v>701</v>
      </c>
      <c r="F48" s="287">
        <v>849</v>
      </c>
      <c r="G48" s="287">
        <v>948</v>
      </c>
      <c r="H48" s="287">
        <v>1128</v>
      </c>
      <c r="I48" s="287">
        <v>1313</v>
      </c>
      <c r="J48" s="287">
        <v>1539</v>
      </c>
      <c r="K48" s="287">
        <v>1893</v>
      </c>
      <c r="L48" s="287">
        <v>2132</v>
      </c>
      <c r="M48" s="287">
        <v>2456</v>
      </c>
      <c r="N48" s="287">
        <v>2513</v>
      </c>
    </row>
    <row r="49" spans="2:14">
      <c r="B49" s="318" t="s">
        <v>191</v>
      </c>
      <c r="C49" s="287">
        <v>-13</v>
      </c>
      <c r="D49" s="287">
        <v>26</v>
      </c>
      <c r="E49" s="287">
        <v>29</v>
      </c>
      <c r="F49" s="287">
        <v>-29</v>
      </c>
      <c r="G49" s="287">
        <v>-72</v>
      </c>
      <c r="H49" s="287">
        <v>-33</v>
      </c>
      <c r="I49" s="287">
        <v>-124</v>
      </c>
      <c r="J49" s="287">
        <v>-74</v>
      </c>
      <c r="K49" s="287">
        <v>-26</v>
      </c>
      <c r="L49" s="287">
        <v>-95</v>
      </c>
      <c r="M49" s="287">
        <v>-62</v>
      </c>
      <c r="N49" s="287">
        <v>18</v>
      </c>
    </row>
    <row r="50" spans="2:14">
      <c r="B50" s="323" t="s">
        <v>22</v>
      </c>
      <c r="C50" s="331">
        <f t="shared" ref="C50" si="21">SUM(C45:C49)</f>
        <v>10203</v>
      </c>
      <c r="D50" s="331">
        <f t="shared" ref="D50:I50" si="22">SUM(D45:D49)</f>
        <v>10237</v>
      </c>
      <c r="E50" s="331">
        <f t="shared" si="22"/>
        <v>10465</v>
      </c>
      <c r="F50" s="331">
        <f t="shared" si="22"/>
        <v>10571</v>
      </c>
      <c r="G50" s="331">
        <f t="shared" si="22"/>
        <v>10492</v>
      </c>
      <c r="H50" s="331">
        <f t="shared" si="22"/>
        <v>10486</v>
      </c>
      <c r="I50" s="331">
        <f t="shared" si="22"/>
        <v>10564</v>
      </c>
      <c r="J50" s="331">
        <f t="shared" ref="J50:K50" si="23">SUM(J45:J49)</f>
        <v>10883</v>
      </c>
      <c r="K50" s="331">
        <f t="shared" si="23"/>
        <v>11317</v>
      </c>
      <c r="L50" s="331">
        <f t="shared" ref="L50:M50" si="24">SUM(L45:L49)</f>
        <v>11535</v>
      </c>
      <c r="M50" s="331">
        <f t="shared" si="24"/>
        <v>11935</v>
      </c>
      <c r="N50" s="331">
        <f t="shared" ref="N50" si="25">SUM(N45:N49)</f>
        <v>12139</v>
      </c>
    </row>
    <row r="51" spans="2:14">
      <c r="B51" s="323"/>
      <c r="C51" s="331"/>
      <c r="D51" s="331"/>
      <c r="E51" s="331"/>
      <c r="F51" s="331"/>
      <c r="G51" s="331"/>
      <c r="H51" s="331"/>
      <c r="I51" s="331"/>
      <c r="J51" s="331"/>
      <c r="K51" s="331"/>
      <c r="L51" s="331"/>
      <c r="M51" s="331"/>
      <c r="N51" s="331"/>
    </row>
    <row r="52" spans="2:14" ht="12.75" thickBot="1">
      <c r="B52" s="323" t="s">
        <v>23</v>
      </c>
      <c r="C52" s="329">
        <f t="shared" ref="C52" si="26">C43+C50</f>
        <v>13447</v>
      </c>
      <c r="D52" s="329">
        <f t="shared" ref="D52:I52" si="27">D43+D50</f>
        <v>12377</v>
      </c>
      <c r="E52" s="329">
        <f t="shared" si="27"/>
        <v>11972</v>
      </c>
      <c r="F52" s="329">
        <f t="shared" si="27"/>
        <v>12113</v>
      </c>
      <c r="G52" s="329">
        <f t="shared" si="27"/>
        <v>13277</v>
      </c>
      <c r="H52" s="329">
        <f t="shared" si="27"/>
        <v>12482</v>
      </c>
      <c r="I52" s="329">
        <f t="shared" si="27"/>
        <v>12269</v>
      </c>
      <c r="J52" s="329">
        <f t="shared" ref="J52:K52" si="28">J43+J50</f>
        <v>12661</v>
      </c>
      <c r="K52" s="329">
        <f t="shared" si="28"/>
        <v>14200</v>
      </c>
      <c r="L52" s="329">
        <f t="shared" ref="L52:M52" si="29">L43+L50</f>
        <v>13725</v>
      </c>
      <c r="M52" s="329">
        <f t="shared" si="29"/>
        <v>13411</v>
      </c>
      <c r="N52" s="329">
        <f t="shared" ref="N52" si="30">N43+N50</f>
        <v>16060</v>
      </c>
    </row>
  </sheetData>
  <mergeCells count="3">
    <mergeCell ref="A1:O1"/>
    <mergeCell ref="A2:O2"/>
    <mergeCell ref="A3:O3"/>
  </mergeCells>
  <pageMargins left="0.7" right="0.7" top="0.25" bottom="0.44" header="0.3" footer="0.3"/>
  <pageSetup scale="67" orientation="landscape" r:id="rId1"/>
  <headerFooter>
    <oddFooter>&amp;LActivision Blizzard, Inc.&amp;R&amp;P of &amp; 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8A179F-0915-4EA1-B8FE-9C11ACF31CC0}">
  <ds:schemaRefs>
    <ds:schemaRef ds:uri="http://www.w3.org/XML/1998/namespace"/>
    <ds:schemaRef ds:uri="64b9f78e-1638-4d50-90be-e6eae294b66a"/>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Non-GAAP Financial Measures</vt:lpstr>
      <vt:lpstr>QTD P&amp;L</vt:lpstr>
      <vt:lpstr>TTM P&amp;L</vt:lpstr>
      <vt:lpstr>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2013</vt:lpstr>
      <vt:lpstr>GAAP to Non-GAAP Measures 2012</vt:lpstr>
      <vt:lpstr>GAAP to Non-GAAP Measures 2011</vt:lpstr>
      <vt:lpstr>GAAP to Non-GAAP Measures 2010</vt:lpstr>
      <vt:lpstr>GAAP_nonGAAPreconCY</vt:lpstr>
      <vt:lpstr>GAAP_nonGAAPreconCYQTR</vt:lpstr>
      <vt:lpstr>'Balance Sheet'!Print_Area</vt:lpstr>
      <vt:lpstr>'Cashflow Supplemental'!Print_Area</vt:lpstr>
      <vt:lpstr>'Cashflow Supplemental Qtrly'!Print_Area</vt:lpstr>
      <vt:lpstr>'Cashflow YE'!Print_Area</vt:lpstr>
      <vt:lpstr>EBITDA!Print_Area</vt:lpstr>
      <vt:lpstr>'GAAP to Non-GAAP Measures 2010'!Print_Area</vt:lpstr>
      <vt:lpstr>'GAAP to Non-GAAP Measures 2011'!Print_Area</vt:lpstr>
      <vt:lpstr>'GAAP to Non-GAAP Measures 2012'!Print_Area</vt:lpstr>
      <vt:lpstr>'GAAP to Non-GAAP Measures 2013'!Print_Area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EBITDA!Print_Titles</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Hsu, Evelyn</cp:lastModifiedBy>
  <cp:lastPrinted>2013-11-06T18:30:24Z</cp:lastPrinted>
  <dcterms:created xsi:type="dcterms:W3CDTF">2010-07-21T13:25:15Z</dcterms:created>
  <dcterms:modified xsi:type="dcterms:W3CDTF">2013-11-06T21:15:14Z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